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4305" windowWidth="14805" windowHeight="3810" activeTab="1"/>
  </bookViews>
  <sheets>
    <sheet name="Приложение 1" sheetId="4" r:id="rId1"/>
    <sheet name="Приложение 2-ТЭО" sheetId="2" r:id="rId2"/>
    <sheet name="Приложение 3" sheetId="5" r:id="rId3"/>
  </sheets>
  <definedNames>
    <definedName name="_xlnm._FilterDatabase" localSheetId="1" hidden="1">'Приложение 2-ТЭО'!$A$4:$X$474</definedName>
    <definedName name="_xlnm.Print_Titles" localSheetId="1">'Приложение 2-ТЭО'!$4:$8</definedName>
    <definedName name="_xlnm.Print_Area" localSheetId="1">'Приложение 2-ТЭО'!$A$1:$AM$489</definedName>
  </definedNames>
  <calcPr calcId="144525"/>
</workbook>
</file>

<file path=xl/calcChain.xml><?xml version="1.0" encoding="utf-8"?>
<calcChain xmlns="http://schemas.openxmlformats.org/spreadsheetml/2006/main">
  <c r="K419" i="2" l="1"/>
  <c r="L419" i="2"/>
  <c r="N419" i="2"/>
  <c r="P419" i="2"/>
  <c r="Q419" i="2"/>
  <c r="S419" i="2"/>
  <c r="U419" i="2"/>
  <c r="V419" i="2"/>
  <c r="X419" i="2"/>
  <c r="Z419" i="2"/>
  <c r="AA419" i="2"/>
  <c r="AB419" i="2"/>
  <c r="AC419" i="2"/>
  <c r="AE419" i="2"/>
  <c r="AF419" i="2"/>
  <c r="AG419" i="2"/>
  <c r="AH419" i="2"/>
  <c r="AJ419" i="2"/>
  <c r="AK419" i="2"/>
  <c r="AL419" i="2"/>
  <c r="AM419" i="2"/>
  <c r="G91" i="4"/>
  <c r="G92" i="4"/>
  <c r="W479" i="2"/>
  <c r="W319" i="2"/>
  <c r="K361" i="2"/>
  <c r="L361" i="2"/>
  <c r="M361" i="2"/>
  <c r="N361" i="2"/>
  <c r="P361" i="2"/>
  <c r="Q361" i="2"/>
  <c r="R361" i="2"/>
  <c r="S361" i="2"/>
  <c r="U361" i="2"/>
  <c r="V361" i="2"/>
  <c r="W361" i="2"/>
  <c r="X361" i="2"/>
  <c r="Z361" i="2"/>
  <c r="AA361" i="2"/>
  <c r="AB361" i="2"/>
  <c r="AC361" i="2"/>
  <c r="AE361" i="2"/>
  <c r="AF361" i="2"/>
  <c r="AG361" i="2"/>
  <c r="AH361" i="2"/>
  <c r="AJ361" i="2"/>
  <c r="AK361" i="2"/>
  <c r="AL361" i="2"/>
  <c r="AM361" i="2"/>
  <c r="T366" i="2"/>
  <c r="O366" i="2"/>
  <c r="J366" i="2"/>
  <c r="I366" i="2"/>
  <c r="H366" i="2"/>
  <c r="E366" i="2" s="1"/>
  <c r="G366" i="2"/>
  <c r="F366" i="2"/>
  <c r="W329" i="2"/>
  <c r="T438" i="2"/>
  <c r="O438" i="2"/>
  <c r="J438" i="2"/>
  <c r="I438" i="2"/>
  <c r="E438" i="2" s="1"/>
  <c r="H438" i="2"/>
  <c r="G438" i="2"/>
  <c r="F438" i="2"/>
  <c r="T437" i="2"/>
  <c r="O437" i="2"/>
  <c r="J437" i="2"/>
  <c r="I437" i="2"/>
  <c r="E437" i="2" s="1"/>
  <c r="H437" i="2"/>
  <c r="G437" i="2"/>
  <c r="F437" i="2"/>
  <c r="W433" i="2"/>
  <c r="W419" i="2" s="1"/>
  <c r="K238" i="2"/>
  <c r="L238" i="2"/>
  <c r="P238" i="2"/>
  <c r="Q238" i="2"/>
  <c r="S238" i="2"/>
  <c r="U238" i="2"/>
  <c r="V238" i="2"/>
  <c r="X238" i="2"/>
  <c r="Z238" i="2"/>
  <c r="AA238" i="2"/>
  <c r="AB238" i="2"/>
  <c r="AC238" i="2"/>
  <c r="AE238" i="2"/>
  <c r="AF238" i="2"/>
  <c r="AG238" i="2"/>
  <c r="AH238" i="2"/>
  <c r="AJ238" i="2"/>
  <c r="AK238" i="2"/>
  <c r="AL238" i="2"/>
  <c r="AM238" i="2"/>
  <c r="AI262" i="2"/>
  <c r="AD262" i="2"/>
  <c r="Y262" i="2"/>
  <c r="T262" i="2"/>
  <c r="O262" i="2"/>
  <c r="J262" i="2"/>
  <c r="I262" i="2"/>
  <c r="H262" i="2"/>
  <c r="G262" i="2"/>
  <c r="F262" i="2"/>
  <c r="AI261" i="2"/>
  <c r="AD261" i="2"/>
  <c r="Y261" i="2"/>
  <c r="T261" i="2"/>
  <c r="O261" i="2"/>
  <c r="J261" i="2"/>
  <c r="I261" i="2"/>
  <c r="H261" i="2"/>
  <c r="G261" i="2"/>
  <c r="F261" i="2"/>
  <c r="E261" i="2" s="1"/>
  <c r="K209" i="2"/>
  <c r="L209" i="2"/>
  <c r="P209" i="2"/>
  <c r="Q209" i="2"/>
  <c r="U209" i="2"/>
  <c r="V209" i="2"/>
  <c r="Z209" i="2"/>
  <c r="AA209" i="2"/>
  <c r="AB209" i="2"/>
  <c r="AC209" i="2"/>
  <c r="T229" i="2"/>
  <c r="I229" i="2"/>
  <c r="H229" i="2"/>
  <c r="G229" i="2"/>
  <c r="F229" i="2"/>
  <c r="F181" i="2"/>
  <c r="J181" i="2"/>
  <c r="K181" i="2"/>
  <c r="L181" i="2"/>
  <c r="M181" i="2"/>
  <c r="N181" i="2"/>
  <c r="P181" i="2"/>
  <c r="Q181" i="2"/>
  <c r="R181" i="2"/>
  <c r="S181" i="2"/>
  <c r="T181" i="2"/>
  <c r="U181" i="2"/>
  <c r="V181" i="2"/>
  <c r="W181" i="2"/>
  <c r="X181" i="2"/>
  <c r="Z181" i="2"/>
  <c r="AA181" i="2"/>
  <c r="AB181" i="2"/>
  <c r="AC181" i="2"/>
  <c r="AD181" i="2"/>
  <c r="AE181" i="2"/>
  <c r="AF181" i="2"/>
  <c r="AG181" i="2"/>
  <c r="AH181" i="2"/>
  <c r="AI181" i="2"/>
  <c r="AJ181" i="2"/>
  <c r="AK181" i="2"/>
  <c r="AL181" i="2"/>
  <c r="AM181" i="2"/>
  <c r="AI182" i="2"/>
  <c r="AD182" i="2"/>
  <c r="Y182" i="2"/>
  <c r="Y181" i="2" s="1"/>
  <c r="T182" i="2"/>
  <c r="O182" i="2"/>
  <c r="O181" i="2" s="1"/>
  <c r="J182" i="2"/>
  <c r="I182" i="2"/>
  <c r="I181" i="2" s="1"/>
  <c r="H182" i="2"/>
  <c r="H181" i="2" s="1"/>
  <c r="G182" i="2"/>
  <c r="F182" i="2"/>
  <c r="W167" i="2"/>
  <c r="AG81" i="2"/>
  <c r="E229" i="2" l="1"/>
  <c r="E182" i="2"/>
  <c r="E181" i="2" s="1"/>
  <c r="G181" i="2"/>
  <c r="E262" i="2"/>
  <c r="AB81" i="2" l="1"/>
  <c r="K11" i="2" l="1"/>
  <c r="L11" i="2"/>
  <c r="N11" i="2"/>
  <c r="P11" i="2"/>
  <c r="Q11" i="2"/>
  <c r="S11" i="2"/>
  <c r="U11" i="2"/>
  <c r="V11" i="2"/>
  <c r="W11" i="2"/>
  <c r="X11" i="2"/>
  <c r="Z11" i="2"/>
  <c r="AA11" i="2"/>
  <c r="AC11" i="2"/>
  <c r="AE11" i="2"/>
  <c r="AF11" i="2"/>
  <c r="AG11" i="2"/>
  <c r="AH11" i="2"/>
  <c r="AJ11" i="2"/>
  <c r="AK11" i="2"/>
  <c r="AL11" i="2"/>
  <c r="AM11" i="2"/>
  <c r="Y75" i="2"/>
  <c r="Y76" i="2"/>
  <c r="Y77" i="2"/>
  <c r="Y78" i="2"/>
  <c r="Y79" i="2"/>
  <c r="Y80" i="2"/>
  <c r="Y70" i="2"/>
  <c r="Y71" i="2"/>
  <c r="Y72" i="2"/>
  <c r="Y73" i="2"/>
  <c r="Y74" i="2"/>
  <c r="Y64" i="2"/>
  <c r="Y65" i="2"/>
  <c r="Y66" i="2"/>
  <c r="Y67" i="2"/>
  <c r="Y68" i="2"/>
  <c r="Y69" i="2"/>
  <c r="Y81" i="2"/>
  <c r="Y83" i="2"/>
  <c r="Y84" i="2"/>
  <c r="Y85" i="2"/>
  <c r="Y86" i="2"/>
  <c r="Y87" i="2"/>
  <c r="T80" i="2"/>
  <c r="H80" i="2"/>
  <c r="E80" i="2" s="1"/>
  <c r="T79" i="2"/>
  <c r="H79" i="2"/>
  <c r="E79" i="2" s="1"/>
  <c r="W64" i="2"/>
  <c r="W114" i="2"/>
  <c r="K82" i="2"/>
  <c r="L82" i="2"/>
  <c r="N82" i="2"/>
  <c r="P82" i="2"/>
  <c r="Q82" i="2"/>
  <c r="S82" i="2"/>
  <c r="U82" i="2"/>
  <c r="V82" i="2"/>
  <c r="W82" i="2"/>
  <c r="X82" i="2"/>
  <c r="Z82" i="2"/>
  <c r="AA82" i="2"/>
  <c r="AB82" i="2"/>
  <c r="AC82" i="2"/>
  <c r="AE82" i="2"/>
  <c r="AF82" i="2"/>
  <c r="AG82" i="2"/>
  <c r="AH82" i="2"/>
  <c r="AJ82" i="2"/>
  <c r="AK82" i="2"/>
  <c r="AL82" i="2"/>
  <c r="AM82" i="2"/>
  <c r="T93" i="2"/>
  <c r="H93" i="2"/>
  <c r="G93" i="2"/>
  <c r="F93" i="2"/>
  <c r="T91" i="2"/>
  <c r="H91" i="2"/>
  <c r="G91" i="2"/>
  <c r="F91" i="2"/>
  <c r="T92" i="2"/>
  <c r="H92" i="2"/>
  <c r="G92" i="2"/>
  <c r="F92" i="2"/>
  <c r="T78" i="2"/>
  <c r="H78" i="2"/>
  <c r="E78" i="2"/>
  <c r="W58" i="2"/>
  <c r="W55" i="2"/>
  <c r="W72" i="2"/>
  <c r="T77" i="2"/>
  <c r="H77" i="2"/>
  <c r="E77" i="2" s="1"/>
  <c r="Y27" i="2"/>
  <c r="T27" i="2"/>
  <c r="O27" i="2"/>
  <c r="J27" i="2"/>
  <c r="I27" i="2"/>
  <c r="H27" i="2"/>
  <c r="G27" i="2"/>
  <c r="F27" i="2"/>
  <c r="T76" i="2"/>
  <c r="H76" i="2"/>
  <c r="E76" i="2"/>
  <c r="T90" i="2"/>
  <c r="H90" i="2"/>
  <c r="G90" i="2"/>
  <c r="F90" i="2"/>
  <c r="E90" i="2" l="1"/>
  <c r="E27" i="2"/>
  <c r="E91" i="2"/>
  <c r="E92" i="2"/>
  <c r="Y82" i="2"/>
  <c r="E93" i="2"/>
  <c r="T89" i="2" l="1"/>
  <c r="H89" i="2"/>
  <c r="G89" i="2"/>
  <c r="F89" i="2"/>
  <c r="E89" i="2" l="1"/>
  <c r="F481" i="2"/>
  <c r="G481" i="2"/>
  <c r="H481" i="2"/>
  <c r="I481" i="2"/>
  <c r="J481" i="2"/>
  <c r="O481" i="2"/>
  <c r="T481" i="2"/>
  <c r="Y481" i="2"/>
  <c r="AD481" i="2"/>
  <c r="AI481" i="2"/>
  <c r="K486" i="2"/>
  <c r="L486" i="2"/>
  <c r="M486" i="2"/>
  <c r="N486" i="2"/>
  <c r="P486" i="2"/>
  <c r="Q486" i="2"/>
  <c r="R486" i="2"/>
  <c r="S486" i="2"/>
  <c r="U486" i="2"/>
  <c r="V486" i="2"/>
  <c r="W486" i="2"/>
  <c r="X486" i="2"/>
  <c r="Z486" i="2"/>
  <c r="AA486" i="2"/>
  <c r="AB486" i="2"/>
  <c r="AC486" i="2"/>
  <c r="AE486" i="2"/>
  <c r="AF486" i="2"/>
  <c r="AG486" i="2"/>
  <c r="AH486" i="2"/>
  <c r="AJ486" i="2"/>
  <c r="AK486" i="2"/>
  <c r="AL486" i="2"/>
  <c r="AM486" i="2"/>
  <c r="G487" i="2"/>
  <c r="G489" i="2"/>
  <c r="AI489" i="2"/>
  <c r="AD489" i="2"/>
  <c r="Y489" i="2"/>
  <c r="O489" i="2"/>
  <c r="J489" i="2"/>
  <c r="I489" i="2"/>
  <c r="H489" i="2"/>
  <c r="F489" i="2"/>
  <c r="AI488" i="2"/>
  <c r="AD488" i="2"/>
  <c r="Y488" i="2"/>
  <c r="O488" i="2"/>
  <c r="J488" i="2"/>
  <c r="I488" i="2"/>
  <c r="H488" i="2"/>
  <c r="F488" i="2"/>
  <c r="K482" i="2"/>
  <c r="K480" i="2" s="1"/>
  <c r="L482" i="2"/>
  <c r="L480" i="2" s="1"/>
  <c r="M482" i="2"/>
  <c r="M480" i="2" s="1"/>
  <c r="N482" i="2"/>
  <c r="N480" i="2" s="1"/>
  <c r="P482" i="2"/>
  <c r="P480" i="2" s="1"/>
  <c r="Q482" i="2"/>
  <c r="Q480" i="2" s="1"/>
  <c r="R482" i="2"/>
  <c r="R480" i="2" s="1"/>
  <c r="S482" i="2"/>
  <c r="S480" i="2" s="1"/>
  <c r="U482" i="2"/>
  <c r="U480" i="2" s="1"/>
  <c r="V482" i="2"/>
  <c r="V480" i="2" s="1"/>
  <c r="W482" i="2"/>
  <c r="W480" i="2" s="1"/>
  <c r="X482" i="2"/>
  <c r="X480" i="2" s="1"/>
  <c r="Z482" i="2"/>
  <c r="Z480" i="2" s="1"/>
  <c r="AA482" i="2"/>
  <c r="AA480" i="2" s="1"/>
  <c r="AB482" i="2"/>
  <c r="AB480" i="2" s="1"/>
  <c r="AC482" i="2"/>
  <c r="AC480" i="2" s="1"/>
  <c r="AE482" i="2"/>
  <c r="AE480" i="2" s="1"/>
  <c r="AF482" i="2"/>
  <c r="AF480" i="2" s="1"/>
  <c r="AG482" i="2"/>
  <c r="AG480" i="2" s="1"/>
  <c r="AH482" i="2"/>
  <c r="AH480" i="2" s="1"/>
  <c r="AJ482" i="2"/>
  <c r="AJ480" i="2" s="1"/>
  <c r="AK482" i="2"/>
  <c r="AK480" i="2" s="1"/>
  <c r="AL482" i="2"/>
  <c r="AL480" i="2" s="1"/>
  <c r="AM482" i="2"/>
  <c r="AM480" i="2" s="1"/>
  <c r="AI485" i="2"/>
  <c r="AD485" i="2"/>
  <c r="Y485" i="2"/>
  <c r="T485" i="2"/>
  <c r="O485" i="2"/>
  <c r="J485" i="2"/>
  <c r="I485" i="2"/>
  <c r="H485" i="2"/>
  <c r="G485" i="2"/>
  <c r="F485" i="2"/>
  <c r="AI484" i="2"/>
  <c r="AD484" i="2"/>
  <c r="Y484" i="2"/>
  <c r="T484" i="2"/>
  <c r="O484" i="2"/>
  <c r="J484" i="2"/>
  <c r="I484" i="2"/>
  <c r="H484" i="2"/>
  <c r="G484" i="2"/>
  <c r="F484" i="2"/>
  <c r="AI483" i="2"/>
  <c r="AD483" i="2"/>
  <c r="Y483" i="2"/>
  <c r="T483" i="2"/>
  <c r="O483" i="2"/>
  <c r="J483" i="2"/>
  <c r="I483" i="2"/>
  <c r="H483" i="2"/>
  <c r="G483" i="2"/>
  <c r="F483" i="2"/>
  <c r="E484" i="2" l="1"/>
  <c r="AI482" i="2"/>
  <c r="AI480" i="2" s="1"/>
  <c r="H482" i="2"/>
  <c r="H480" i="2" s="1"/>
  <c r="Y482" i="2"/>
  <c r="Y480" i="2" s="1"/>
  <c r="E481" i="2"/>
  <c r="J482" i="2"/>
  <c r="J480" i="2" s="1"/>
  <c r="I482" i="2"/>
  <c r="I480" i="2" s="1"/>
  <c r="E483" i="2"/>
  <c r="T482" i="2"/>
  <c r="T480" i="2" s="1"/>
  <c r="O482" i="2"/>
  <c r="O480" i="2" s="1"/>
  <c r="F482" i="2"/>
  <c r="F480" i="2" s="1"/>
  <c r="AD482" i="2"/>
  <c r="AD480" i="2" s="1"/>
  <c r="T489" i="2"/>
  <c r="E485" i="2"/>
  <c r="G482" i="2"/>
  <c r="G480" i="2" s="1"/>
  <c r="E489" i="2"/>
  <c r="E482" i="2" l="1"/>
  <c r="E480" i="2" s="1"/>
  <c r="G488" i="2"/>
  <c r="T488" i="2"/>
  <c r="K94" i="2"/>
  <c r="L94" i="2"/>
  <c r="N94" i="2"/>
  <c r="P94" i="2"/>
  <c r="Q94" i="2"/>
  <c r="R94" i="2"/>
  <c r="S94" i="2"/>
  <c r="U94" i="2"/>
  <c r="V94" i="2"/>
  <c r="W94" i="2"/>
  <c r="X94" i="2"/>
  <c r="Z94" i="2"/>
  <c r="AA94" i="2"/>
  <c r="AB94" i="2"/>
  <c r="AC94" i="2"/>
  <c r="AE94" i="2"/>
  <c r="AF94" i="2"/>
  <c r="AG94" i="2"/>
  <c r="AH94" i="2"/>
  <c r="AJ94" i="2"/>
  <c r="AK94" i="2"/>
  <c r="AL94" i="2"/>
  <c r="AM94" i="2"/>
  <c r="G486" i="2" l="1"/>
  <c r="E488" i="2"/>
  <c r="W447" i="2" l="1"/>
  <c r="AG475" i="2"/>
  <c r="AG471" i="2"/>
  <c r="AG466" i="2"/>
  <c r="AI487" i="2"/>
  <c r="AI486" i="2" s="1"/>
  <c r="AD487" i="2"/>
  <c r="AD486" i="2" s="1"/>
  <c r="Y487" i="2"/>
  <c r="Y486" i="2" s="1"/>
  <c r="O487" i="2"/>
  <c r="O486" i="2" s="1"/>
  <c r="J487" i="2"/>
  <c r="J486" i="2" s="1"/>
  <c r="T487" i="2" l="1"/>
  <c r="T486" i="2" s="1"/>
  <c r="Y25" i="2"/>
  <c r="Y26" i="2"/>
  <c r="O25" i="2"/>
  <c r="O26" i="2"/>
  <c r="J24" i="2"/>
  <c r="J25" i="2"/>
  <c r="J26" i="2"/>
  <c r="I24" i="2"/>
  <c r="I25" i="2"/>
  <c r="I26" i="2"/>
  <c r="H26" i="2"/>
  <c r="G26" i="2"/>
  <c r="F26" i="2"/>
  <c r="E26" i="2" l="1"/>
  <c r="AB24" i="2"/>
  <c r="AB11" i="2" s="1"/>
  <c r="T26" i="2"/>
  <c r="I487" i="2"/>
  <c r="I486" i="2" s="1"/>
  <c r="H487" i="2"/>
  <c r="H486" i="2" s="1"/>
  <c r="F487" i="2"/>
  <c r="W334" i="2"/>
  <c r="W250" i="2"/>
  <c r="W246" i="2"/>
  <c r="W238" i="2" s="1"/>
  <c r="X217" i="2"/>
  <c r="X209" i="2" s="1"/>
  <c r="W217" i="2"/>
  <c r="I228" i="2"/>
  <c r="H228" i="2"/>
  <c r="G228" i="2"/>
  <c r="F228" i="2"/>
  <c r="T228" i="2"/>
  <c r="W188" i="2"/>
  <c r="H166" i="2"/>
  <c r="G166" i="2"/>
  <c r="F166" i="2"/>
  <c r="E166" i="2" s="1"/>
  <c r="T166" i="2"/>
  <c r="W156" i="2"/>
  <c r="W118" i="2"/>
  <c r="W104" i="2"/>
  <c r="T96" i="2"/>
  <c r="H96" i="2"/>
  <c r="E96" i="2" s="1"/>
  <c r="F486" i="2" l="1"/>
  <c r="E487" i="2"/>
  <c r="E486" i="2" s="1"/>
  <c r="E228" i="2"/>
  <c r="T111" i="2"/>
  <c r="H111" i="2"/>
  <c r="E111" i="2" s="1"/>
  <c r="F88" i="2"/>
  <c r="G88" i="2"/>
  <c r="H88" i="2"/>
  <c r="T88" i="2"/>
  <c r="T67" i="2"/>
  <c r="T68" i="2"/>
  <c r="T69" i="2"/>
  <c r="T70" i="2"/>
  <c r="T71" i="2"/>
  <c r="T72" i="2"/>
  <c r="T73" i="2"/>
  <c r="T74" i="2"/>
  <c r="T75" i="2"/>
  <c r="T66" i="2"/>
  <c r="H75" i="2"/>
  <c r="E75" i="2" s="1"/>
  <c r="H74" i="2"/>
  <c r="E74" i="2" s="1"/>
  <c r="H73" i="2"/>
  <c r="E73" i="2" s="1"/>
  <c r="H72" i="2"/>
  <c r="E72" i="2" s="1"/>
  <c r="H71" i="2"/>
  <c r="E71" i="2" s="1"/>
  <c r="H70" i="2"/>
  <c r="E70" i="2" s="1"/>
  <c r="H69" i="2"/>
  <c r="E69" i="2" s="1"/>
  <c r="H68" i="2"/>
  <c r="E68" i="2" s="1"/>
  <c r="H67" i="2"/>
  <c r="E67" i="2" s="1"/>
  <c r="H66" i="2"/>
  <c r="E66" i="2" s="1"/>
  <c r="H65" i="2"/>
  <c r="E65" i="2" s="1"/>
  <c r="T65" i="2"/>
  <c r="W81" i="2"/>
  <c r="E88" i="2" l="1"/>
  <c r="K230" i="2" l="1"/>
  <c r="L230" i="2"/>
  <c r="M230" i="2"/>
  <c r="N230" i="2"/>
  <c r="P230" i="2"/>
  <c r="Q230" i="2"/>
  <c r="U230" i="2"/>
  <c r="V230" i="2"/>
  <c r="W230" i="2"/>
  <c r="X230" i="2"/>
  <c r="Z230" i="2"/>
  <c r="AA230" i="2"/>
  <c r="AB230" i="2"/>
  <c r="AC230" i="2"/>
  <c r="AE230" i="2"/>
  <c r="AF230" i="2"/>
  <c r="AG230" i="2"/>
  <c r="AH230" i="2"/>
  <c r="AJ230" i="2"/>
  <c r="AK230" i="2"/>
  <c r="AL230" i="2"/>
  <c r="AM230" i="2"/>
  <c r="AD87" i="2" l="1"/>
  <c r="AI87" i="2"/>
  <c r="O87" i="2"/>
  <c r="J87" i="2"/>
  <c r="K183" i="2" l="1"/>
  <c r="L183" i="2"/>
  <c r="N183" i="2"/>
  <c r="P183" i="2"/>
  <c r="Q183" i="2"/>
  <c r="R183" i="2"/>
  <c r="S183" i="2"/>
  <c r="U183" i="2"/>
  <c r="V183" i="2"/>
  <c r="W183" i="2"/>
  <c r="X183" i="2"/>
  <c r="Z183" i="2"/>
  <c r="AA183" i="2"/>
  <c r="AB183" i="2"/>
  <c r="AC183" i="2"/>
  <c r="AE183" i="2"/>
  <c r="AF183" i="2"/>
  <c r="AG183" i="2"/>
  <c r="AH183" i="2"/>
  <c r="AJ183" i="2"/>
  <c r="AK183" i="2"/>
  <c r="AL183" i="2"/>
  <c r="AM183" i="2"/>
  <c r="Y226" i="2" l="1"/>
  <c r="Y227" i="2"/>
  <c r="AI216" i="2"/>
  <c r="AD216" i="2"/>
  <c r="Y216" i="2"/>
  <c r="O216" i="2"/>
  <c r="J216" i="2"/>
  <c r="O227" i="2"/>
  <c r="J227" i="2"/>
  <c r="O226" i="2"/>
  <c r="J226" i="2"/>
  <c r="K203" i="2" l="1"/>
  <c r="L203" i="2"/>
  <c r="N203" i="2"/>
  <c r="P203" i="2"/>
  <c r="Q203" i="2"/>
  <c r="R203" i="2"/>
  <c r="S203" i="2"/>
  <c r="U203" i="2"/>
  <c r="V203" i="2"/>
  <c r="W203" i="2"/>
  <c r="X203" i="2"/>
  <c r="Z203" i="2"/>
  <c r="AA203" i="2"/>
  <c r="AB203" i="2"/>
  <c r="AC203" i="2"/>
  <c r="AE203" i="2"/>
  <c r="AF203" i="2"/>
  <c r="AG203" i="2"/>
  <c r="AH203" i="2"/>
  <c r="AJ203" i="2"/>
  <c r="AK203" i="2"/>
  <c r="AL203" i="2"/>
  <c r="AM203" i="2"/>
  <c r="AI208" i="2"/>
  <c r="AD208" i="2"/>
  <c r="Y208" i="2"/>
  <c r="T208" i="2"/>
  <c r="O208" i="2"/>
  <c r="J208" i="2"/>
  <c r="I208" i="2"/>
  <c r="H208" i="2"/>
  <c r="G208" i="2"/>
  <c r="F208" i="2"/>
  <c r="AI207" i="2"/>
  <c r="AD207" i="2"/>
  <c r="Y207" i="2"/>
  <c r="T207" i="2"/>
  <c r="O207" i="2"/>
  <c r="J207" i="2"/>
  <c r="I207" i="2"/>
  <c r="H207" i="2"/>
  <c r="G207" i="2"/>
  <c r="F207" i="2"/>
  <c r="E207" i="2" l="1"/>
  <c r="E208" i="2"/>
  <c r="AE227" i="2"/>
  <c r="AE226" i="2" s="1"/>
  <c r="AE209" i="2" s="1"/>
  <c r="AF227" i="2"/>
  <c r="AF226" i="2" s="1"/>
  <c r="AF209" i="2" s="1"/>
  <c r="AG227" i="2"/>
  <c r="AG226" i="2" s="1"/>
  <c r="AG209" i="2" s="1"/>
  <c r="AH227" i="2"/>
  <c r="AH226" i="2" s="1"/>
  <c r="AH209" i="2" s="1"/>
  <c r="AJ227" i="2"/>
  <c r="AJ226" i="2" s="1"/>
  <c r="AK227" i="2"/>
  <c r="AK226" i="2" s="1"/>
  <c r="AK209" i="2" s="1"/>
  <c r="AL227" i="2"/>
  <c r="AL226" i="2" s="1"/>
  <c r="AL209" i="2" s="1"/>
  <c r="AM227" i="2"/>
  <c r="F234" i="2"/>
  <c r="K234" i="2"/>
  <c r="L234" i="2"/>
  <c r="M234" i="2"/>
  <c r="N234" i="2"/>
  <c r="P234" i="2"/>
  <c r="Q234" i="2"/>
  <c r="R234" i="2"/>
  <c r="S234" i="2"/>
  <c r="U234" i="2"/>
  <c r="V234" i="2"/>
  <c r="Z234" i="2"/>
  <c r="Z202" i="2" s="1"/>
  <c r="AA234" i="2"/>
  <c r="AA202" i="2" s="1"/>
  <c r="AB234" i="2"/>
  <c r="AC234" i="2"/>
  <c r="AC202" i="2" s="1"/>
  <c r="AE234" i="2"/>
  <c r="AF234" i="2"/>
  <c r="AG234" i="2"/>
  <c r="AH234" i="2"/>
  <c r="AJ234" i="2"/>
  <c r="AK234" i="2"/>
  <c r="AL234" i="2"/>
  <c r="AM234" i="2"/>
  <c r="AJ209" i="2" l="1"/>
  <c r="AJ202" i="2" s="1"/>
  <c r="AE202" i="2"/>
  <c r="AK202" i="2"/>
  <c r="AG202" i="2"/>
  <c r="K202" i="2"/>
  <c r="Q202" i="2"/>
  <c r="U202" i="2"/>
  <c r="AH202" i="2"/>
  <c r="L202" i="2"/>
  <c r="AL202" i="2"/>
  <c r="AB202" i="2"/>
  <c r="P202" i="2"/>
  <c r="AF202" i="2"/>
  <c r="V202" i="2"/>
  <c r="I227" i="2"/>
  <c r="AM226" i="2"/>
  <c r="T274" i="2"/>
  <c r="AM209" i="2" l="1"/>
  <c r="AM202" i="2" s="1"/>
  <c r="F156" i="2"/>
  <c r="G156" i="2"/>
  <c r="H156" i="2"/>
  <c r="T156" i="2"/>
  <c r="F226" i="2"/>
  <c r="G226" i="2"/>
  <c r="H226" i="2"/>
  <c r="I226" i="2"/>
  <c r="T226" i="2"/>
  <c r="X235" i="2"/>
  <c r="X234" i="2" s="1"/>
  <c r="X202" i="2" s="1"/>
  <c r="F64" i="2"/>
  <c r="G64" i="2"/>
  <c r="H64" i="2"/>
  <c r="E64" i="2" s="1"/>
  <c r="T64" i="2"/>
  <c r="T227" i="2"/>
  <c r="W235" i="2"/>
  <c r="W234" i="2" s="1"/>
  <c r="F274" i="2"/>
  <c r="G274" i="2"/>
  <c r="H274" i="2"/>
  <c r="I274" i="2"/>
  <c r="J274" i="2"/>
  <c r="F227" i="2"/>
  <c r="G227" i="2"/>
  <c r="H227" i="2"/>
  <c r="W381" i="2"/>
  <c r="W382" i="2"/>
  <c r="W441" i="2"/>
  <c r="I435" i="2"/>
  <c r="F435" i="2"/>
  <c r="G435" i="2"/>
  <c r="H435" i="2"/>
  <c r="T435" i="2"/>
  <c r="F365" i="2"/>
  <c r="G365" i="2"/>
  <c r="H365" i="2"/>
  <c r="I365" i="2"/>
  <c r="J365" i="2"/>
  <c r="O365" i="2"/>
  <c r="T365" i="2"/>
  <c r="T361" i="2" s="1"/>
  <c r="F436" i="2"/>
  <c r="G436" i="2"/>
  <c r="H436" i="2"/>
  <c r="I436" i="2"/>
  <c r="J436" i="2"/>
  <c r="O436" i="2"/>
  <c r="T436" i="2"/>
  <c r="K367" i="2"/>
  <c r="L367" i="2"/>
  <c r="M367" i="2"/>
  <c r="N367" i="2"/>
  <c r="P367" i="2"/>
  <c r="Q367" i="2"/>
  <c r="S367" i="2"/>
  <c r="U367" i="2"/>
  <c r="V367" i="2"/>
  <c r="T377" i="2"/>
  <c r="F377" i="2"/>
  <c r="G377" i="2"/>
  <c r="H377" i="2"/>
  <c r="T375" i="2"/>
  <c r="W368" i="2"/>
  <c r="W367" i="2" s="1"/>
  <c r="F434" i="2"/>
  <c r="G434" i="2"/>
  <c r="H434" i="2"/>
  <c r="I434" i="2"/>
  <c r="J434" i="2"/>
  <c r="O434" i="2"/>
  <c r="T434" i="2"/>
  <c r="W277" i="2"/>
  <c r="W276" i="2"/>
  <c r="E156" i="2" l="1"/>
  <c r="E365" i="2"/>
  <c r="E434" i="2"/>
  <c r="E226" i="2"/>
  <c r="E377" i="2"/>
  <c r="E436" i="2"/>
  <c r="E435" i="2"/>
  <c r="E227" i="2"/>
  <c r="E274" i="2"/>
  <c r="G216" i="2"/>
  <c r="H216" i="2"/>
  <c r="I216" i="2"/>
  <c r="T216" i="2"/>
  <c r="W142" i="2"/>
  <c r="W149" i="2"/>
  <c r="W148" i="2"/>
  <c r="W147" i="2"/>
  <c r="W146" i="2"/>
  <c r="W145" i="2"/>
  <c r="W144" i="2"/>
  <c r="W143" i="2"/>
  <c r="W141" i="2"/>
  <c r="W140" i="2"/>
  <c r="W139" i="2"/>
  <c r="W138" i="2"/>
  <c r="W137" i="2"/>
  <c r="W136" i="2"/>
  <c r="W135" i="2"/>
  <c r="K158" i="2"/>
  <c r="L158" i="2"/>
  <c r="N158" i="2"/>
  <c r="P158" i="2"/>
  <c r="Q158" i="2"/>
  <c r="S158" i="2"/>
  <c r="U158" i="2"/>
  <c r="V158" i="2"/>
  <c r="W158" i="2"/>
  <c r="X158" i="2"/>
  <c r="H167" i="2"/>
  <c r="E167" i="2" s="1"/>
  <c r="T167" i="2"/>
  <c r="F191" i="2"/>
  <c r="G191" i="2"/>
  <c r="H191" i="2"/>
  <c r="T191" i="2"/>
  <c r="W120" i="2"/>
  <c r="W128" i="2"/>
  <c r="AG179" i="2"/>
  <c r="AB179" i="2"/>
  <c r="W179" i="2"/>
  <c r="F25" i="2"/>
  <c r="G25" i="2"/>
  <c r="H25" i="2"/>
  <c r="T25" i="2"/>
  <c r="E25" i="2" l="1"/>
  <c r="E216" i="2"/>
  <c r="E191" i="2"/>
  <c r="K104" i="2" l="1"/>
  <c r="L104" i="2"/>
  <c r="M104" i="2"/>
  <c r="N104" i="2"/>
  <c r="P104" i="2"/>
  <c r="Q104" i="2"/>
  <c r="S104" i="2"/>
  <c r="U104" i="2"/>
  <c r="V104" i="2"/>
  <c r="X104" i="2"/>
  <c r="T110" i="2"/>
  <c r="F110" i="2"/>
  <c r="G110" i="2"/>
  <c r="H110" i="2"/>
  <c r="K112" i="2"/>
  <c r="L112" i="2"/>
  <c r="M112" i="2"/>
  <c r="N112" i="2"/>
  <c r="P112" i="2"/>
  <c r="Q112" i="2"/>
  <c r="R112" i="2"/>
  <c r="S112" i="2"/>
  <c r="U112" i="2"/>
  <c r="V112" i="2"/>
  <c r="W112" i="2"/>
  <c r="X112" i="2"/>
  <c r="F114" i="2"/>
  <c r="G114" i="2"/>
  <c r="H114" i="2"/>
  <c r="T114" i="2"/>
  <c r="F83" i="2"/>
  <c r="G83" i="2"/>
  <c r="I83" i="2"/>
  <c r="M83" i="2"/>
  <c r="M82" i="2" s="1"/>
  <c r="O83" i="2"/>
  <c r="T83" i="2"/>
  <c r="F87" i="2"/>
  <c r="G87" i="2"/>
  <c r="H87" i="2"/>
  <c r="T87" i="2"/>
  <c r="H83" i="2" l="1"/>
  <c r="E114" i="2"/>
  <c r="E87" i="2"/>
  <c r="E110" i="2"/>
  <c r="J83" i="2"/>
  <c r="AI391" i="2"/>
  <c r="AI392" i="2"/>
  <c r="AD391" i="2"/>
  <c r="AD392" i="2"/>
  <c r="Y391" i="2"/>
  <c r="Y392" i="2"/>
  <c r="AI270" i="2" l="1"/>
  <c r="AI271" i="2"/>
  <c r="AI272" i="2"/>
  <c r="AI273" i="2"/>
  <c r="AD270" i="2"/>
  <c r="AD271" i="2"/>
  <c r="AD272" i="2"/>
  <c r="AD273" i="2"/>
  <c r="Y270" i="2"/>
  <c r="Y271" i="2"/>
  <c r="Y272" i="2"/>
  <c r="Y273" i="2"/>
  <c r="J270" i="2"/>
  <c r="J271" i="2"/>
  <c r="J272" i="2"/>
  <c r="J273" i="2"/>
  <c r="T270" i="2"/>
  <c r="T271" i="2"/>
  <c r="T272" i="2"/>
  <c r="J218" i="2"/>
  <c r="J219" i="2"/>
  <c r="J220" i="2"/>
  <c r="J221" i="2"/>
  <c r="J222" i="2"/>
  <c r="J223" i="2"/>
  <c r="J224" i="2"/>
  <c r="J225" i="2"/>
  <c r="O223" i="2"/>
  <c r="O224" i="2"/>
  <c r="O225" i="2"/>
  <c r="O218" i="2"/>
  <c r="O219" i="2"/>
  <c r="O220" i="2"/>
  <c r="O221" i="2"/>
  <c r="O222" i="2"/>
  <c r="T222" i="2"/>
  <c r="T223" i="2"/>
  <c r="T224" i="2"/>
  <c r="T225" i="2"/>
  <c r="T221" i="2"/>
  <c r="Y224" i="2"/>
  <c r="Y225" i="2"/>
  <c r="Y218" i="2"/>
  <c r="Y219" i="2"/>
  <c r="Y220" i="2"/>
  <c r="Y221" i="2"/>
  <c r="G407" i="2"/>
  <c r="G408" i="2"/>
  <c r="G409" i="2"/>
  <c r="G410" i="2"/>
  <c r="G411" i="2"/>
  <c r="G412" i="2"/>
  <c r="G413" i="2"/>
  <c r="G414" i="2"/>
  <c r="G415" i="2"/>
  <c r="G416" i="2"/>
  <c r="I407" i="2"/>
  <c r="I408" i="2"/>
  <c r="I409" i="2"/>
  <c r="I410" i="2"/>
  <c r="I411" i="2"/>
  <c r="I412" i="2"/>
  <c r="I413" i="2"/>
  <c r="I414" i="2"/>
  <c r="I415" i="2"/>
  <c r="I416" i="2"/>
  <c r="J413" i="2"/>
  <c r="J414" i="2"/>
  <c r="J415" i="2"/>
  <c r="J416" i="2"/>
  <c r="J406" i="2"/>
  <c r="J407" i="2"/>
  <c r="J408" i="2"/>
  <c r="J409" i="2"/>
  <c r="J410" i="2"/>
  <c r="J411" i="2"/>
  <c r="J412" i="2"/>
  <c r="H205" i="2" l="1"/>
  <c r="H206" i="2"/>
  <c r="W300" i="2" l="1"/>
  <c r="K475" i="2"/>
  <c r="L475" i="2"/>
  <c r="M475" i="2"/>
  <c r="N475" i="2"/>
  <c r="P475" i="2"/>
  <c r="Q475" i="2"/>
  <c r="S475" i="2"/>
  <c r="U475" i="2"/>
  <c r="V475" i="2"/>
  <c r="W475" i="2"/>
  <c r="X475" i="2"/>
  <c r="Z475" i="2"/>
  <c r="AA475" i="2"/>
  <c r="AB475" i="2"/>
  <c r="AC475" i="2"/>
  <c r="AE475" i="2"/>
  <c r="AF475" i="2"/>
  <c r="AH475" i="2"/>
  <c r="AJ475" i="2"/>
  <c r="AK475" i="2"/>
  <c r="AL475" i="2"/>
  <c r="AM475" i="2"/>
  <c r="AI477" i="2"/>
  <c r="AD477" i="2"/>
  <c r="Y477" i="2"/>
  <c r="T477" i="2"/>
  <c r="O477" i="2"/>
  <c r="J477" i="2"/>
  <c r="I477" i="2"/>
  <c r="H477" i="2"/>
  <c r="G477" i="2"/>
  <c r="F477" i="2"/>
  <c r="K393" i="2"/>
  <c r="L393" i="2"/>
  <c r="M393" i="2"/>
  <c r="N393" i="2"/>
  <c r="P393" i="2"/>
  <c r="Q393" i="2"/>
  <c r="S393" i="2"/>
  <c r="U393" i="2"/>
  <c r="V393" i="2"/>
  <c r="W393" i="2"/>
  <c r="X393" i="2"/>
  <c r="Z393" i="2"/>
  <c r="AA393" i="2"/>
  <c r="AB393" i="2"/>
  <c r="AC393" i="2"/>
  <c r="AE393" i="2"/>
  <c r="AF393" i="2"/>
  <c r="AG393" i="2"/>
  <c r="AH393" i="2"/>
  <c r="AJ393" i="2"/>
  <c r="AK393" i="2"/>
  <c r="AL393" i="2"/>
  <c r="AM393" i="2"/>
  <c r="H410" i="2"/>
  <c r="E410" i="2" s="1"/>
  <c r="O410" i="2"/>
  <c r="T410" i="2"/>
  <c r="Y410" i="2"/>
  <c r="AD410" i="2"/>
  <c r="AI410" i="2"/>
  <c r="H411" i="2"/>
  <c r="E411" i="2" s="1"/>
  <c r="O411" i="2"/>
  <c r="T411" i="2"/>
  <c r="Y411" i="2"/>
  <c r="AD411" i="2"/>
  <c r="AI411" i="2"/>
  <c r="H412" i="2"/>
  <c r="E412" i="2" s="1"/>
  <c r="O412" i="2"/>
  <c r="T412" i="2"/>
  <c r="Y412" i="2"/>
  <c r="AD412" i="2"/>
  <c r="AI412" i="2"/>
  <c r="H413" i="2"/>
  <c r="E413" i="2" s="1"/>
  <c r="O413" i="2"/>
  <c r="T413" i="2"/>
  <c r="Y413" i="2"/>
  <c r="AD413" i="2"/>
  <c r="AI413" i="2"/>
  <c r="H414" i="2"/>
  <c r="E414" i="2" s="1"/>
  <c r="O414" i="2"/>
  <c r="T414" i="2"/>
  <c r="Y414" i="2"/>
  <c r="AD414" i="2"/>
  <c r="AI414" i="2"/>
  <c r="H415" i="2"/>
  <c r="E415" i="2" s="1"/>
  <c r="O415" i="2"/>
  <c r="T415" i="2"/>
  <c r="Y415" i="2"/>
  <c r="AD415" i="2"/>
  <c r="AI415" i="2"/>
  <c r="H416" i="2"/>
  <c r="E416" i="2" s="1"/>
  <c r="O416" i="2"/>
  <c r="T416" i="2"/>
  <c r="Y416" i="2"/>
  <c r="AD416" i="2"/>
  <c r="AI416" i="2"/>
  <c r="T406" i="2"/>
  <c r="Y406" i="2"/>
  <c r="AD406" i="2"/>
  <c r="AI406" i="2"/>
  <c r="T407" i="2"/>
  <c r="Y407" i="2"/>
  <c r="AD407" i="2"/>
  <c r="AI407" i="2"/>
  <c r="T408" i="2"/>
  <c r="Y408" i="2"/>
  <c r="AD408" i="2"/>
  <c r="AI408" i="2"/>
  <c r="T409" i="2"/>
  <c r="Y409" i="2"/>
  <c r="AD409" i="2"/>
  <c r="AI409" i="2"/>
  <c r="O409" i="2"/>
  <c r="H409" i="2"/>
  <c r="E409" i="2" s="1"/>
  <c r="W287" i="2"/>
  <c r="W275" i="2"/>
  <c r="W263" i="2" s="1"/>
  <c r="K439" i="2"/>
  <c r="L439" i="2"/>
  <c r="M439" i="2"/>
  <c r="N439" i="2"/>
  <c r="P439" i="2"/>
  <c r="Q439" i="2"/>
  <c r="S439" i="2"/>
  <c r="U439" i="2"/>
  <c r="V439" i="2"/>
  <c r="W439" i="2"/>
  <c r="X439" i="2"/>
  <c r="Z439" i="2"/>
  <c r="AA439" i="2"/>
  <c r="AB439" i="2"/>
  <c r="AC439" i="2"/>
  <c r="AE439" i="2"/>
  <c r="AF439" i="2"/>
  <c r="AG439" i="2"/>
  <c r="AH439" i="2"/>
  <c r="AJ439" i="2"/>
  <c r="AK439" i="2"/>
  <c r="AL439" i="2"/>
  <c r="AM439" i="2"/>
  <c r="E477" i="2" l="1"/>
  <c r="W380" i="2"/>
  <c r="AI220" i="2"/>
  <c r="AI221" i="2"/>
  <c r="AI222" i="2"/>
  <c r="AI223" i="2"/>
  <c r="AI224" i="2"/>
  <c r="AI225" i="2"/>
  <c r="AI218" i="2"/>
  <c r="AI219" i="2"/>
  <c r="AD218" i="2"/>
  <c r="AD219" i="2"/>
  <c r="AD220" i="2"/>
  <c r="AD221" i="2"/>
  <c r="AD222" i="2"/>
  <c r="AD223" i="2"/>
  <c r="R476" i="2" l="1"/>
  <c r="R475" i="2" s="1"/>
  <c r="R239" i="2"/>
  <c r="R479" i="2"/>
  <c r="R469" i="2"/>
  <c r="R452" i="2"/>
  <c r="R381" i="2"/>
  <c r="R388" i="2"/>
  <c r="R296" i="2"/>
  <c r="R401" i="2"/>
  <c r="R441" i="2"/>
  <c r="R439" i="2" s="1"/>
  <c r="R387" i="2"/>
  <c r="R319" i="2"/>
  <c r="H319" i="2" s="1"/>
  <c r="R299" i="2"/>
  <c r="O408" i="2"/>
  <c r="H408" i="2"/>
  <c r="E408" i="2" s="1"/>
  <c r="R347" i="2"/>
  <c r="R355" i="2"/>
  <c r="R313" i="2"/>
  <c r="R370" i="2"/>
  <c r="R367" i="2" s="1"/>
  <c r="R309" i="2"/>
  <c r="R305" i="2"/>
  <c r="R301" i="2"/>
  <c r="R258" i="2"/>
  <c r="R251" i="2"/>
  <c r="AI260" i="2"/>
  <c r="AD260" i="2"/>
  <c r="Y260" i="2"/>
  <c r="T260" i="2"/>
  <c r="O260" i="2"/>
  <c r="J260" i="2"/>
  <c r="I260" i="2"/>
  <c r="H260" i="2"/>
  <c r="G260" i="2"/>
  <c r="F260" i="2"/>
  <c r="S217" i="2"/>
  <c r="S209" i="2" s="1"/>
  <c r="R217" i="2"/>
  <c r="S232" i="2"/>
  <c r="R232" i="2"/>
  <c r="S231" i="2"/>
  <c r="R231" i="2"/>
  <c r="AI215" i="2"/>
  <c r="AD215" i="2"/>
  <c r="Y215" i="2"/>
  <c r="T215" i="2"/>
  <c r="O215" i="2"/>
  <c r="J215" i="2"/>
  <c r="I215" i="2"/>
  <c r="H215" i="2"/>
  <c r="G215" i="2"/>
  <c r="F215" i="2"/>
  <c r="R137" i="2"/>
  <c r="R81" i="2"/>
  <c r="AI63" i="2"/>
  <c r="AD63" i="2"/>
  <c r="Y63" i="2"/>
  <c r="T63" i="2"/>
  <c r="O63" i="2"/>
  <c r="J63" i="2"/>
  <c r="I63" i="2"/>
  <c r="H63" i="2"/>
  <c r="E63" i="2" s="1"/>
  <c r="G63" i="2"/>
  <c r="F63" i="2"/>
  <c r="R125" i="2"/>
  <c r="Z158" i="2"/>
  <c r="AA158" i="2"/>
  <c r="AB158" i="2"/>
  <c r="AC158" i="2"/>
  <c r="AE158" i="2"/>
  <c r="AG158" i="2"/>
  <c r="AJ158" i="2"/>
  <c r="AK158" i="2"/>
  <c r="AL158" i="2"/>
  <c r="AM158" i="2"/>
  <c r="AI165" i="2"/>
  <c r="AH165" i="2"/>
  <c r="AD165" i="2" s="1"/>
  <c r="Y165" i="2"/>
  <c r="T165" i="2"/>
  <c r="O165" i="2"/>
  <c r="J165" i="2"/>
  <c r="H165" i="2"/>
  <c r="G165" i="2"/>
  <c r="F165" i="2"/>
  <c r="R163" i="2"/>
  <c r="R158" i="2" s="1"/>
  <c r="R131" i="2"/>
  <c r="R180" i="2"/>
  <c r="R100" i="2"/>
  <c r="R53" i="2"/>
  <c r="R52" i="2"/>
  <c r="R55" i="2"/>
  <c r="R39" i="2"/>
  <c r="R230" i="2" l="1"/>
  <c r="S230" i="2"/>
  <c r="E260" i="2"/>
  <c r="E215" i="2"/>
  <c r="I165" i="2"/>
  <c r="E165" i="2" s="1"/>
  <c r="S202" i="2" l="1"/>
  <c r="AI18" i="2"/>
  <c r="AD18" i="2"/>
  <c r="Y18" i="2"/>
  <c r="T18" i="2"/>
  <c r="O18" i="2"/>
  <c r="J18" i="2"/>
  <c r="I18" i="2"/>
  <c r="H18" i="2"/>
  <c r="G18" i="2"/>
  <c r="F18" i="2"/>
  <c r="W389" i="2"/>
  <c r="K389" i="2"/>
  <c r="L389" i="2"/>
  <c r="M389" i="2"/>
  <c r="N389" i="2"/>
  <c r="P389" i="2"/>
  <c r="Q389" i="2"/>
  <c r="R389" i="2"/>
  <c r="S389" i="2"/>
  <c r="U389" i="2"/>
  <c r="V389" i="2"/>
  <c r="X389" i="2"/>
  <c r="Z389" i="2"/>
  <c r="AA389" i="2"/>
  <c r="AB389" i="2"/>
  <c r="AC389" i="2"/>
  <c r="AE389" i="2"/>
  <c r="AF389" i="2"/>
  <c r="AG389" i="2"/>
  <c r="AH389" i="2"/>
  <c r="AJ389" i="2"/>
  <c r="AK389" i="2"/>
  <c r="AL389" i="2"/>
  <c r="AM389" i="2"/>
  <c r="T391" i="2"/>
  <c r="T392" i="2"/>
  <c r="J391" i="2"/>
  <c r="J392" i="2"/>
  <c r="O392" i="2"/>
  <c r="H392" i="2"/>
  <c r="G392" i="2"/>
  <c r="F392" i="2"/>
  <c r="T432" i="2"/>
  <c r="Y432" i="2"/>
  <c r="AD432" i="2"/>
  <c r="AI432" i="2"/>
  <c r="T433" i="2"/>
  <c r="Y433" i="2"/>
  <c r="AD433" i="2"/>
  <c r="AI433" i="2"/>
  <c r="J433" i="2"/>
  <c r="J432" i="2"/>
  <c r="O433" i="2"/>
  <c r="I433" i="2"/>
  <c r="H433" i="2"/>
  <c r="G433" i="2"/>
  <c r="F433" i="2"/>
  <c r="E433" i="2" l="1"/>
  <c r="E18" i="2"/>
  <c r="E392" i="2"/>
  <c r="R246" i="2"/>
  <c r="R250" i="2"/>
  <c r="R247" i="2"/>
  <c r="R290" i="2"/>
  <c r="R345" i="2" l="1"/>
  <c r="R352" i="2"/>
  <c r="S275" i="2"/>
  <c r="U275" i="2"/>
  <c r="V275" i="2"/>
  <c r="X275" i="2"/>
  <c r="Z275" i="2"/>
  <c r="AA275" i="2"/>
  <c r="AB275" i="2"/>
  <c r="AC275" i="2"/>
  <c r="AE275" i="2"/>
  <c r="AF275" i="2"/>
  <c r="AG275" i="2"/>
  <c r="AH275" i="2"/>
  <c r="AJ275" i="2"/>
  <c r="AK275" i="2"/>
  <c r="AL275" i="2"/>
  <c r="AM275" i="2"/>
  <c r="T273" i="2"/>
  <c r="I273" i="2"/>
  <c r="H273" i="2"/>
  <c r="G273" i="2"/>
  <c r="F273" i="2"/>
  <c r="R210" i="2"/>
  <c r="R209" i="2" l="1"/>
  <c r="R202" i="2" s="1"/>
  <c r="E273" i="2"/>
  <c r="K197" i="2"/>
  <c r="L197" i="2"/>
  <c r="M197" i="2"/>
  <c r="N197" i="2"/>
  <c r="P197" i="2"/>
  <c r="Q197" i="2"/>
  <c r="R197" i="2"/>
  <c r="S197" i="2"/>
  <c r="U197" i="2"/>
  <c r="V197" i="2"/>
  <c r="W197" i="2"/>
  <c r="X197" i="2"/>
  <c r="Z197" i="2"/>
  <c r="AA197" i="2"/>
  <c r="AB197" i="2"/>
  <c r="AC197" i="2"/>
  <c r="AE197" i="2"/>
  <c r="AF197" i="2"/>
  <c r="AG197" i="2"/>
  <c r="AH197" i="2"/>
  <c r="AJ197" i="2"/>
  <c r="AK197" i="2"/>
  <c r="AL197" i="2"/>
  <c r="AM197" i="2"/>
  <c r="T199" i="2"/>
  <c r="H199" i="2"/>
  <c r="G199" i="2"/>
  <c r="F199" i="2"/>
  <c r="K152" i="2"/>
  <c r="L152" i="2"/>
  <c r="N152" i="2"/>
  <c r="P152" i="2"/>
  <c r="Q152" i="2"/>
  <c r="S152" i="2"/>
  <c r="U152" i="2"/>
  <c r="V152" i="2"/>
  <c r="W152" i="2"/>
  <c r="X152" i="2"/>
  <c r="Z152" i="2"/>
  <c r="AA152" i="2"/>
  <c r="AB152" i="2"/>
  <c r="AC152" i="2"/>
  <c r="AE152" i="2"/>
  <c r="AG152" i="2"/>
  <c r="AJ152" i="2"/>
  <c r="AK152" i="2"/>
  <c r="AL152" i="2"/>
  <c r="AM152" i="2"/>
  <c r="E199" i="2" l="1"/>
  <c r="AD235" i="2"/>
  <c r="AI235" i="2"/>
  <c r="AD236" i="2"/>
  <c r="AI236" i="2"/>
  <c r="Y235" i="2"/>
  <c r="Y236" i="2"/>
  <c r="O235" i="2"/>
  <c r="T235" i="2"/>
  <c r="O236" i="2"/>
  <c r="T236" i="2"/>
  <c r="J235" i="2"/>
  <c r="J236" i="2"/>
  <c r="J214" i="2"/>
  <c r="I235" i="2"/>
  <c r="I236" i="2"/>
  <c r="G235" i="2"/>
  <c r="G236" i="2"/>
  <c r="H213" i="2"/>
  <c r="H214" i="2"/>
  <c r="H235" i="2"/>
  <c r="H236" i="2"/>
  <c r="O234" i="2" l="1"/>
  <c r="J234" i="2"/>
  <c r="H234" i="2"/>
  <c r="AI234" i="2"/>
  <c r="AD234" i="2"/>
  <c r="I234" i="2"/>
  <c r="Y234" i="2"/>
  <c r="G234" i="2"/>
  <c r="E235" i="2"/>
  <c r="T234" i="2"/>
  <c r="E236" i="2"/>
  <c r="E234" i="2" l="1"/>
  <c r="AI62" i="2"/>
  <c r="AD62" i="2"/>
  <c r="Y62" i="2"/>
  <c r="T62" i="2"/>
  <c r="O62" i="2"/>
  <c r="J62" i="2"/>
  <c r="I62" i="2"/>
  <c r="H62" i="2"/>
  <c r="E62" i="2" s="1"/>
  <c r="G62" i="2"/>
  <c r="F62" i="2"/>
  <c r="F221" i="2" l="1"/>
  <c r="G221" i="2"/>
  <c r="H221" i="2"/>
  <c r="I221" i="2"/>
  <c r="F222" i="2"/>
  <c r="G222" i="2"/>
  <c r="H222" i="2"/>
  <c r="I222" i="2"/>
  <c r="Y222" i="2"/>
  <c r="F223" i="2"/>
  <c r="G223" i="2"/>
  <c r="H223" i="2"/>
  <c r="I223" i="2"/>
  <c r="Y223" i="2"/>
  <c r="W218" i="2"/>
  <c r="W209" i="2" s="1"/>
  <c r="AD225" i="2"/>
  <c r="I225" i="2"/>
  <c r="H225" i="2"/>
  <c r="G225" i="2"/>
  <c r="F225" i="2"/>
  <c r="AD224" i="2"/>
  <c r="I224" i="2"/>
  <c r="H224" i="2"/>
  <c r="G224" i="2"/>
  <c r="F224" i="2"/>
  <c r="T220" i="2"/>
  <c r="I220" i="2"/>
  <c r="H220" i="2"/>
  <c r="G220" i="2"/>
  <c r="F220" i="2"/>
  <c r="T219" i="2"/>
  <c r="I219" i="2"/>
  <c r="H219" i="2"/>
  <c r="G219" i="2"/>
  <c r="F219" i="2"/>
  <c r="I218" i="2"/>
  <c r="G218" i="2"/>
  <c r="F218" i="2"/>
  <c r="W202" i="2" l="1"/>
  <c r="E221" i="2"/>
  <c r="E222" i="2"/>
  <c r="E223" i="2"/>
  <c r="E224" i="2"/>
  <c r="E219" i="2"/>
  <c r="E225" i="2"/>
  <c r="E220" i="2"/>
  <c r="H218" i="2"/>
  <c r="E218" i="2" s="1"/>
  <c r="T218" i="2"/>
  <c r="AI157" i="2" l="1"/>
  <c r="AD157" i="2"/>
  <c r="Y157" i="2"/>
  <c r="T157" i="2"/>
  <c r="O157" i="2"/>
  <c r="J157" i="2"/>
  <c r="I157" i="2"/>
  <c r="H157" i="2"/>
  <c r="G157" i="2"/>
  <c r="F157" i="2"/>
  <c r="T376" i="2"/>
  <c r="AI190" i="2"/>
  <c r="AD190" i="2"/>
  <c r="Y190" i="2"/>
  <c r="T190" i="2"/>
  <c r="O190" i="2"/>
  <c r="J190" i="2"/>
  <c r="I190" i="2"/>
  <c r="H190" i="2"/>
  <c r="G190" i="2"/>
  <c r="F190" i="2"/>
  <c r="AI189" i="2"/>
  <c r="AD189" i="2"/>
  <c r="Y189" i="2"/>
  <c r="T189" i="2"/>
  <c r="O189" i="2"/>
  <c r="J189" i="2"/>
  <c r="I189" i="2"/>
  <c r="H189" i="2"/>
  <c r="G189" i="2"/>
  <c r="F189" i="2"/>
  <c r="E157" i="2" l="1"/>
  <c r="E189" i="2"/>
  <c r="E190" i="2"/>
  <c r="H326" i="2"/>
  <c r="H327" i="2"/>
  <c r="F453" i="2" l="1"/>
  <c r="G453" i="2"/>
  <c r="H453" i="2"/>
  <c r="I453" i="2"/>
  <c r="J453" i="2"/>
  <c r="O453" i="2"/>
  <c r="T453" i="2"/>
  <c r="Y453" i="2"/>
  <c r="AD453" i="2"/>
  <c r="AI453" i="2"/>
  <c r="E453" i="2" l="1"/>
  <c r="H368" i="2"/>
  <c r="T368" i="2"/>
  <c r="T367" i="2" s="1"/>
  <c r="Y24" i="2"/>
  <c r="O23" i="2"/>
  <c r="H23" i="2"/>
  <c r="T24" i="2"/>
  <c r="O24" i="2"/>
  <c r="H24" i="2"/>
  <c r="G24" i="2"/>
  <c r="F24" i="2"/>
  <c r="AI188" i="2"/>
  <c r="AD188" i="2"/>
  <c r="Y188" i="2"/>
  <c r="T188" i="2"/>
  <c r="O188" i="2"/>
  <c r="J188" i="2"/>
  <c r="I188" i="2"/>
  <c r="H188" i="2"/>
  <c r="G188" i="2"/>
  <c r="F188" i="2"/>
  <c r="AI187" i="2"/>
  <c r="AD187" i="2"/>
  <c r="Y187" i="2"/>
  <c r="T187" i="2"/>
  <c r="O187" i="2"/>
  <c r="J187" i="2"/>
  <c r="I187" i="2"/>
  <c r="H187" i="2"/>
  <c r="G187" i="2"/>
  <c r="F187" i="2"/>
  <c r="E188" i="2" l="1"/>
  <c r="E24" i="2"/>
  <c r="E187" i="2"/>
  <c r="Z112" i="2" l="1"/>
  <c r="AA112" i="2"/>
  <c r="AB112" i="2"/>
  <c r="AC112" i="2"/>
  <c r="AE112" i="2"/>
  <c r="AF112" i="2"/>
  <c r="AG112" i="2"/>
  <c r="AH112" i="2"/>
  <c r="AJ112" i="2"/>
  <c r="AK112" i="2"/>
  <c r="AL112" i="2"/>
  <c r="AM112" i="2"/>
  <c r="AI113" i="2"/>
  <c r="AI112" i="2" s="1"/>
  <c r="AD113" i="2"/>
  <c r="AD112" i="2" s="1"/>
  <c r="Y113" i="2"/>
  <c r="Y112" i="2" s="1"/>
  <c r="T113" i="2"/>
  <c r="T112" i="2" s="1"/>
  <c r="O113" i="2"/>
  <c r="O112" i="2" s="1"/>
  <c r="J113" i="2"/>
  <c r="J112" i="2" s="1"/>
  <c r="I113" i="2"/>
  <c r="I112" i="2" s="1"/>
  <c r="H113" i="2"/>
  <c r="H112" i="2" s="1"/>
  <c r="G113" i="2"/>
  <c r="G112" i="2" s="1"/>
  <c r="F113" i="2"/>
  <c r="F112" i="2" s="1"/>
  <c r="E113" i="2" l="1"/>
  <c r="E112" i="2" s="1"/>
  <c r="R42" i="2" l="1"/>
  <c r="X367" i="2" l="1"/>
  <c r="Z367" i="2"/>
  <c r="AA367" i="2"/>
  <c r="AB367" i="2"/>
  <c r="AC367" i="2"/>
  <c r="AE367" i="2"/>
  <c r="AF367" i="2"/>
  <c r="AG367" i="2"/>
  <c r="AH367" i="2"/>
  <c r="AJ367" i="2"/>
  <c r="AK367" i="2"/>
  <c r="AL367" i="2"/>
  <c r="AM367" i="2"/>
  <c r="AI376" i="2"/>
  <c r="AD376" i="2"/>
  <c r="Y376" i="2"/>
  <c r="O376" i="2"/>
  <c r="J376" i="2"/>
  <c r="I376" i="2"/>
  <c r="H376" i="2"/>
  <c r="G376" i="2"/>
  <c r="F376" i="2"/>
  <c r="E376" i="2" l="1"/>
  <c r="AI201" i="2"/>
  <c r="AI200" i="2" s="1"/>
  <c r="AD201" i="2"/>
  <c r="AD200" i="2" s="1"/>
  <c r="Y201" i="2"/>
  <c r="Y200" i="2" s="1"/>
  <c r="T201" i="2"/>
  <c r="T200" i="2" s="1"/>
  <c r="O201" i="2"/>
  <c r="O200" i="2" s="1"/>
  <c r="J201" i="2"/>
  <c r="J200" i="2" s="1"/>
  <c r="I201" i="2"/>
  <c r="I200" i="2" s="1"/>
  <c r="H201" i="2"/>
  <c r="G201" i="2"/>
  <c r="G200" i="2" s="1"/>
  <c r="F201" i="2"/>
  <c r="F200" i="2" s="1"/>
  <c r="AM200" i="2"/>
  <c r="AL200" i="2"/>
  <c r="AK200" i="2"/>
  <c r="AJ200" i="2"/>
  <c r="AH200" i="2"/>
  <c r="AG200" i="2"/>
  <c r="AF200" i="2"/>
  <c r="AE200" i="2"/>
  <c r="AC200" i="2"/>
  <c r="AB200" i="2"/>
  <c r="AA200" i="2"/>
  <c r="Z200" i="2"/>
  <c r="X200" i="2"/>
  <c r="W200" i="2"/>
  <c r="V200" i="2"/>
  <c r="U200" i="2"/>
  <c r="S200" i="2"/>
  <c r="R200" i="2"/>
  <c r="Q200" i="2"/>
  <c r="P200" i="2"/>
  <c r="N200" i="2"/>
  <c r="M200" i="2"/>
  <c r="L200" i="2"/>
  <c r="K200" i="2"/>
  <c r="E201" i="2" l="1"/>
  <c r="E200" i="2" s="1"/>
  <c r="H200" i="2"/>
  <c r="O272" i="2" l="1"/>
  <c r="F272" i="2"/>
  <c r="G272" i="2"/>
  <c r="H272" i="2"/>
  <c r="I272" i="2"/>
  <c r="E272" i="2" l="1"/>
  <c r="G479" i="2" l="1"/>
  <c r="R382" i="2"/>
  <c r="H382" i="2" s="1"/>
  <c r="O432" i="2"/>
  <c r="F432" i="2"/>
  <c r="G432" i="2"/>
  <c r="H432" i="2"/>
  <c r="I432" i="2"/>
  <c r="H407" i="2"/>
  <c r="E407" i="2" s="1"/>
  <c r="O407" i="2"/>
  <c r="O406" i="2"/>
  <c r="E432" i="2" l="1"/>
  <c r="F406" i="2" l="1"/>
  <c r="G406" i="2"/>
  <c r="H406" i="2"/>
  <c r="I406" i="2"/>
  <c r="R404" i="2"/>
  <c r="R399" i="2"/>
  <c r="F391" i="2"/>
  <c r="G391" i="2"/>
  <c r="H391" i="2"/>
  <c r="O391" i="2"/>
  <c r="R424" i="2"/>
  <c r="E391" i="2" l="1"/>
  <c r="E406" i="2"/>
  <c r="F270" i="2"/>
  <c r="G270" i="2"/>
  <c r="H270" i="2"/>
  <c r="I270" i="2"/>
  <c r="F271" i="2"/>
  <c r="G271" i="2"/>
  <c r="H271" i="2"/>
  <c r="I271" i="2"/>
  <c r="O271" i="2"/>
  <c r="O270" i="2"/>
  <c r="R122" i="2"/>
  <c r="R85" i="2"/>
  <c r="R82" i="2" s="1"/>
  <c r="E270" i="2" l="1"/>
  <c r="E271" i="2"/>
  <c r="AI61" i="2"/>
  <c r="AD61" i="2"/>
  <c r="Y61" i="2"/>
  <c r="T61" i="2"/>
  <c r="O61" i="2"/>
  <c r="J61" i="2"/>
  <c r="I61" i="2"/>
  <c r="H61" i="2"/>
  <c r="E61" i="2" s="1"/>
  <c r="G61" i="2"/>
  <c r="F61" i="2"/>
  <c r="AI60" i="2"/>
  <c r="AD60" i="2"/>
  <c r="Y60" i="2"/>
  <c r="T60" i="2"/>
  <c r="O60" i="2"/>
  <c r="J60" i="2"/>
  <c r="I60" i="2"/>
  <c r="H60" i="2"/>
  <c r="E60" i="2" s="1"/>
  <c r="G60" i="2"/>
  <c r="F60" i="2"/>
  <c r="AI59" i="2"/>
  <c r="AD59" i="2"/>
  <c r="Y59" i="2"/>
  <c r="T59" i="2"/>
  <c r="O59" i="2"/>
  <c r="J59" i="2"/>
  <c r="I59" i="2"/>
  <c r="H59" i="2"/>
  <c r="E59" i="2" s="1"/>
  <c r="G59" i="2"/>
  <c r="F59" i="2"/>
  <c r="R466" i="2" l="1"/>
  <c r="Z466" i="2"/>
  <c r="AA466" i="2"/>
  <c r="AB466" i="2"/>
  <c r="AC466" i="2"/>
  <c r="AE466" i="2"/>
  <c r="AF466" i="2"/>
  <c r="AH466" i="2"/>
  <c r="AJ466" i="2"/>
  <c r="AK466" i="2"/>
  <c r="AL466" i="2"/>
  <c r="AM466" i="2"/>
  <c r="X466" i="2"/>
  <c r="W466" i="2"/>
  <c r="V466" i="2"/>
  <c r="U466" i="2"/>
  <c r="S466" i="2"/>
  <c r="Q466" i="2"/>
  <c r="P466" i="2"/>
  <c r="N466" i="2"/>
  <c r="M466" i="2"/>
  <c r="L466" i="2"/>
  <c r="K466" i="2"/>
  <c r="F466" i="2"/>
  <c r="AI470" i="2"/>
  <c r="AD470" i="2"/>
  <c r="Y470" i="2"/>
  <c r="T470" i="2"/>
  <c r="O470" i="2"/>
  <c r="J470" i="2"/>
  <c r="I470" i="2"/>
  <c r="H470" i="2"/>
  <c r="G470" i="2"/>
  <c r="R457" i="2"/>
  <c r="R474" i="2"/>
  <c r="R427" i="2"/>
  <c r="R384" i="2"/>
  <c r="R291" i="2"/>
  <c r="AI422" i="2"/>
  <c r="AD422" i="2"/>
  <c r="Y422" i="2"/>
  <c r="T422" i="2"/>
  <c r="O422" i="2"/>
  <c r="J422" i="2"/>
  <c r="I422" i="2"/>
  <c r="H422" i="2"/>
  <c r="G422" i="2"/>
  <c r="F422" i="2"/>
  <c r="R428" i="2"/>
  <c r="R325" i="2"/>
  <c r="H325" i="2" s="1"/>
  <c r="R308" i="2"/>
  <c r="AI431" i="2"/>
  <c r="AD431" i="2"/>
  <c r="Y431" i="2"/>
  <c r="T431" i="2"/>
  <c r="O431" i="2"/>
  <c r="J431" i="2"/>
  <c r="I431" i="2"/>
  <c r="H431" i="2"/>
  <c r="G431" i="2"/>
  <c r="F431" i="2"/>
  <c r="E470" i="2" l="1"/>
  <c r="E422" i="2"/>
  <c r="E431" i="2"/>
  <c r="H285" i="2"/>
  <c r="M275" i="2"/>
  <c r="J275" i="2" s="1"/>
  <c r="AI285" i="2"/>
  <c r="AD285" i="2"/>
  <c r="Y285" i="2"/>
  <c r="T285" i="2"/>
  <c r="O285" i="2"/>
  <c r="J285" i="2"/>
  <c r="I285" i="2"/>
  <c r="G285" i="2"/>
  <c r="F285" i="2"/>
  <c r="R249" i="2"/>
  <c r="R275" i="2" l="1"/>
  <c r="R263" i="2" s="1"/>
  <c r="E285" i="2"/>
  <c r="H276" i="2"/>
  <c r="R108" i="2"/>
  <c r="R104" i="2" s="1"/>
  <c r="Z104" i="2"/>
  <c r="AA104" i="2"/>
  <c r="AB104" i="2"/>
  <c r="AC104" i="2"/>
  <c r="AE104" i="2"/>
  <c r="AF104" i="2"/>
  <c r="AG104" i="2"/>
  <c r="AH104" i="2"/>
  <c r="AJ104" i="2"/>
  <c r="AK104" i="2"/>
  <c r="AL104" i="2"/>
  <c r="AM104" i="2"/>
  <c r="G105" i="2"/>
  <c r="AI109" i="2"/>
  <c r="AD109" i="2"/>
  <c r="Y109" i="2"/>
  <c r="T109" i="2"/>
  <c r="O109" i="2"/>
  <c r="J109" i="2"/>
  <c r="I109" i="2"/>
  <c r="H109" i="2"/>
  <c r="G109" i="2"/>
  <c r="F109" i="2"/>
  <c r="R34" i="2"/>
  <c r="E109" i="2" l="1"/>
  <c r="R311" i="2"/>
  <c r="AI479" i="2" l="1"/>
  <c r="AD479" i="2"/>
  <c r="Y479" i="2"/>
  <c r="T479" i="2"/>
  <c r="T478" i="2" s="1"/>
  <c r="AH162" i="2"/>
  <c r="AH163" i="2"/>
  <c r="AH164" i="2"/>
  <c r="F398" i="2"/>
  <c r="F399" i="2"/>
  <c r="F400" i="2"/>
  <c r="F401" i="2"/>
  <c r="F402" i="2"/>
  <c r="F403" i="2"/>
  <c r="F404" i="2"/>
  <c r="F405" i="2"/>
  <c r="F382" i="2"/>
  <c r="F295" i="2"/>
  <c r="F296" i="2"/>
  <c r="F162" i="2"/>
  <c r="F163" i="2"/>
  <c r="F164" i="2"/>
  <c r="F155" i="2"/>
  <c r="F107" i="2"/>
  <c r="F108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45" i="2"/>
  <c r="F17" i="2"/>
  <c r="F19" i="2"/>
  <c r="F20" i="2"/>
  <c r="F21" i="2"/>
  <c r="F22" i="2"/>
  <c r="F23" i="2"/>
  <c r="F16" i="2"/>
  <c r="F479" i="2"/>
  <c r="F476" i="2"/>
  <c r="F475" i="2" s="1"/>
  <c r="F473" i="2"/>
  <c r="F474" i="2"/>
  <c r="F472" i="2"/>
  <c r="K447" i="2"/>
  <c r="K130" i="2"/>
  <c r="F44" i="2"/>
  <c r="F43" i="2"/>
  <c r="F42" i="2"/>
  <c r="F41" i="2"/>
  <c r="F40" i="2"/>
  <c r="F39" i="2"/>
  <c r="F320" i="2"/>
  <c r="G320" i="2"/>
  <c r="H320" i="2"/>
  <c r="O320" i="2"/>
  <c r="E320" i="2" l="1"/>
  <c r="G51" i="2" l="1"/>
  <c r="AI233" i="2" l="1"/>
  <c r="AD233" i="2"/>
  <c r="Y233" i="2"/>
  <c r="T233" i="2"/>
  <c r="O233" i="2"/>
  <c r="J233" i="2"/>
  <c r="I233" i="2"/>
  <c r="H233" i="2"/>
  <c r="G233" i="2"/>
  <c r="F233" i="2"/>
  <c r="E233" i="2" l="1"/>
  <c r="O39" i="5"/>
  <c r="N39" i="5"/>
  <c r="L39" i="5"/>
  <c r="K39" i="5"/>
  <c r="I39" i="5"/>
  <c r="H39" i="5"/>
  <c r="O34" i="5"/>
  <c r="N34" i="5"/>
  <c r="L34" i="5"/>
  <c r="K34" i="5"/>
  <c r="I34" i="5"/>
  <c r="H34" i="5"/>
  <c r="O29" i="5"/>
  <c r="N29" i="5"/>
  <c r="L29" i="5"/>
  <c r="K29" i="5"/>
  <c r="I29" i="5"/>
  <c r="H29" i="5"/>
  <c r="O24" i="5"/>
  <c r="N24" i="5"/>
  <c r="L24" i="5"/>
  <c r="K24" i="5"/>
  <c r="I24" i="5"/>
  <c r="H24" i="5"/>
  <c r="O19" i="5"/>
  <c r="N19" i="5"/>
  <c r="L19" i="5"/>
  <c r="K19" i="5"/>
  <c r="I19" i="5"/>
  <c r="H19" i="5"/>
  <c r="O14" i="5"/>
  <c r="N14" i="5"/>
  <c r="L14" i="5"/>
  <c r="K14" i="5"/>
  <c r="I14" i="5"/>
  <c r="H14" i="5"/>
  <c r="O13" i="5"/>
  <c r="N13" i="5"/>
  <c r="L13" i="5"/>
  <c r="K13" i="5"/>
  <c r="I13" i="5"/>
  <c r="H13" i="5"/>
  <c r="O12" i="5"/>
  <c r="N12" i="5"/>
  <c r="L12" i="5"/>
  <c r="K12" i="5"/>
  <c r="I12" i="5"/>
  <c r="H12" i="5"/>
  <c r="O11" i="5"/>
  <c r="N11" i="5"/>
  <c r="L11" i="5"/>
  <c r="K11" i="5"/>
  <c r="I11" i="5"/>
  <c r="H11" i="5"/>
  <c r="O10" i="5"/>
  <c r="N10" i="5"/>
  <c r="L10" i="5"/>
  <c r="K10" i="5"/>
  <c r="I10" i="5"/>
  <c r="H10" i="5"/>
  <c r="H9" i="5" l="1"/>
  <c r="N9" i="5"/>
  <c r="O9" i="5"/>
  <c r="K9" i="5"/>
  <c r="I9" i="5"/>
  <c r="L9" i="5"/>
  <c r="L48" i="5" s="1"/>
  <c r="R287" i="2" l="1"/>
  <c r="R192" i="2"/>
  <c r="R130" i="2"/>
  <c r="R28" i="2"/>
  <c r="AI58" i="2"/>
  <c r="AD58" i="2"/>
  <c r="Y58" i="2"/>
  <c r="T58" i="2"/>
  <c r="O58" i="2"/>
  <c r="J58" i="2"/>
  <c r="I58" i="2"/>
  <c r="H58" i="2"/>
  <c r="E58" i="2" s="1"/>
  <c r="G58" i="2"/>
  <c r="AI57" i="2"/>
  <c r="AD57" i="2"/>
  <c r="Y57" i="2"/>
  <c r="T57" i="2"/>
  <c r="O57" i="2"/>
  <c r="J57" i="2"/>
  <c r="I57" i="2"/>
  <c r="H57" i="2"/>
  <c r="E57" i="2" s="1"/>
  <c r="G57" i="2"/>
  <c r="AI56" i="2"/>
  <c r="AD56" i="2"/>
  <c r="Y56" i="2"/>
  <c r="T56" i="2"/>
  <c r="O56" i="2"/>
  <c r="J56" i="2"/>
  <c r="I56" i="2"/>
  <c r="H56" i="2"/>
  <c r="E56" i="2" s="1"/>
  <c r="G56" i="2"/>
  <c r="AI55" i="2"/>
  <c r="AD55" i="2"/>
  <c r="Y55" i="2"/>
  <c r="T55" i="2"/>
  <c r="O55" i="2"/>
  <c r="J55" i="2"/>
  <c r="I55" i="2"/>
  <c r="H55" i="2"/>
  <c r="E55" i="2" s="1"/>
  <c r="G55" i="2"/>
  <c r="R149" i="2"/>
  <c r="R150" i="2"/>
  <c r="R148" i="2"/>
  <c r="R147" i="2"/>
  <c r="R146" i="2"/>
  <c r="R145" i="2"/>
  <c r="R142" i="2"/>
  <c r="R144" i="2"/>
  <c r="R143" i="2"/>
  <c r="R141" i="2"/>
  <c r="R140" i="2"/>
  <c r="R139" i="2"/>
  <c r="R138" i="2"/>
  <c r="R136" i="2"/>
  <c r="R135" i="2"/>
  <c r="R337" i="2"/>
  <c r="H375" i="2"/>
  <c r="AI375" i="2"/>
  <c r="AD375" i="2"/>
  <c r="Y375" i="2"/>
  <c r="O375" i="2"/>
  <c r="J375" i="2"/>
  <c r="I375" i="2"/>
  <c r="G375" i="2"/>
  <c r="F375" i="2"/>
  <c r="AI374" i="2"/>
  <c r="AD374" i="2"/>
  <c r="Y374" i="2"/>
  <c r="O374" i="2"/>
  <c r="J374" i="2"/>
  <c r="I374" i="2"/>
  <c r="H374" i="2"/>
  <c r="G374" i="2"/>
  <c r="F374" i="2"/>
  <c r="AI364" i="2"/>
  <c r="AD364" i="2"/>
  <c r="Y364" i="2"/>
  <c r="O364" i="2"/>
  <c r="J364" i="2"/>
  <c r="I364" i="2"/>
  <c r="H364" i="2"/>
  <c r="G364" i="2"/>
  <c r="F364" i="2"/>
  <c r="M264" i="2"/>
  <c r="AI426" i="2"/>
  <c r="AD426" i="2"/>
  <c r="Y426" i="2"/>
  <c r="T426" i="2"/>
  <c r="O426" i="2"/>
  <c r="J426" i="2"/>
  <c r="I426" i="2"/>
  <c r="H426" i="2"/>
  <c r="G426" i="2"/>
  <c r="F426" i="2"/>
  <c r="AI315" i="2"/>
  <c r="AD315" i="2"/>
  <c r="Y315" i="2"/>
  <c r="T315" i="2"/>
  <c r="O315" i="2"/>
  <c r="J315" i="2"/>
  <c r="I315" i="2"/>
  <c r="H315" i="2"/>
  <c r="G315" i="2"/>
  <c r="F315" i="2"/>
  <c r="AI425" i="2"/>
  <c r="AD425" i="2"/>
  <c r="Y425" i="2"/>
  <c r="T425" i="2"/>
  <c r="O425" i="2"/>
  <c r="J425" i="2"/>
  <c r="I425" i="2"/>
  <c r="H425" i="2"/>
  <c r="G425" i="2"/>
  <c r="F425" i="2"/>
  <c r="AI403" i="2"/>
  <c r="AD403" i="2"/>
  <c r="Y403" i="2"/>
  <c r="T403" i="2"/>
  <c r="O403" i="2"/>
  <c r="J403" i="2"/>
  <c r="I403" i="2"/>
  <c r="H403" i="2"/>
  <c r="G403" i="2"/>
  <c r="R402" i="2"/>
  <c r="R393" i="2" s="1"/>
  <c r="AI424" i="2"/>
  <c r="AD424" i="2"/>
  <c r="Y424" i="2"/>
  <c r="T424" i="2"/>
  <c r="O424" i="2"/>
  <c r="J424" i="2"/>
  <c r="I424" i="2"/>
  <c r="H424" i="2"/>
  <c r="G424" i="2"/>
  <c r="F424" i="2"/>
  <c r="R423" i="2"/>
  <c r="R419" i="2" s="1"/>
  <c r="AI240" i="2"/>
  <c r="AD240" i="2"/>
  <c r="Y240" i="2"/>
  <c r="T240" i="2"/>
  <c r="O240" i="2"/>
  <c r="J240" i="2"/>
  <c r="I240" i="2"/>
  <c r="H240" i="2"/>
  <c r="G240" i="2"/>
  <c r="F240" i="2"/>
  <c r="AI164" i="2"/>
  <c r="AD164" i="2"/>
  <c r="Y164" i="2"/>
  <c r="T164" i="2"/>
  <c r="O164" i="2"/>
  <c r="J164" i="2"/>
  <c r="I164" i="2"/>
  <c r="H164" i="2"/>
  <c r="G164" i="2"/>
  <c r="R134" i="2" l="1"/>
  <c r="E364" i="2"/>
  <c r="E374" i="2"/>
  <c r="E375" i="2"/>
  <c r="E164" i="2"/>
  <c r="E315" i="2"/>
  <c r="E426" i="2"/>
  <c r="E403" i="2"/>
  <c r="E425" i="2"/>
  <c r="E424" i="2"/>
  <c r="E240" i="2"/>
  <c r="R155" i="2" l="1"/>
  <c r="R152" i="2" s="1"/>
  <c r="AI159" i="2" l="1"/>
  <c r="AH159" i="2"/>
  <c r="AF159" i="2"/>
  <c r="Y159" i="2"/>
  <c r="T159" i="2"/>
  <c r="O159" i="2"/>
  <c r="M159" i="2"/>
  <c r="M158" i="2" s="1"/>
  <c r="F159" i="2"/>
  <c r="I159" i="2" l="1"/>
  <c r="H159" i="2"/>
  <c r="J159" i="2"/>
  <c r="AD159" i="2"/>
  <c r="G159" i="2"/>
  <c r="H479" i="2"/>
  <c r="J479" i="2"/>
  <c r="I479" i="2"/>
  <c r="AI430" i="2"/>
  <c r="AD430" i="2"/>
  <c r="Y430" i="2"/>
  <c r="T430" i="2"/>
  <c r="O430" i="2"/>
  <c r="J430" i="2"/>
  <c r="I430" i="2"/>
  <c r="H430" i="2"/>
  <c r="G430" i="2"/>
  <c r="F430" i="2"/>
  <c r="AI429" i="2"/>
  <c r="AD429" i="2"/>
  <c r="Y429" i="2"/>
  <c r="T429" i="2"/>
  <c r="O429" i="2"/>
  <c r="J429" i="2"/>
  <c r="I429" i="2"/>
  <c r="H429" i="2"/>
  <c r="G429" i="2"/>
  <c r="F429" i="2"/>
  <c r="E159" i="2" l="1"/>
  <c r="E429" i="2"/>
  <c r="E479" i="2"/>
  <c r="E430" i="2"/>
  <c r="O479" i="2"/>
  <c r="AI373" i="2"/>
  <c r="AD373" i="2"/>
  <c r="Y373" i="2"/>
  <c r="O373" i="2"/>
  <c r="J373" i="2"/>
  <c r="I373" i="2"/>
  <c r="H373" i="2"/>
  <c r="G373" i="2"/>
  <c r="F373" i="2"/>
  <c r="AI123" i="2"/>
  <c r="AD123" i="2"/>
  <c r="Y123" i="2"/>
  <c r="T123" i="2"/>
  <c r="R123" i="2"/>
  <c r="H123" i="2" s="1"/>
  <c r="J123" i="2"/>
  <c r="I123" i="2"/>
  <c r="G123" i="2"/>
  <c r="F123" i="2"/>
  <c r="AI118" i="2"/>
  <c r="AD118" i="2"/>
  <c r="Y118" i="2"/>
  <c r="T118" i="2"/>
  <c r="R118" i="2"/>
  <c r="O118" i="2" s="1"/>
  <c r="J118" i="2"/>
  <c r="I118" i="2"/>
  <c r="G118" i="2"/>
  <c r="F118" i="2"/>
  <c r="AI54" i="2"/>
  <c r="AD54" i="2"/>
  <c r="Y54" i="2"/>
  <c r="T54" i="2"/>
  <c r="O54" i="2"/>
  <c r="J54" i="2"/>
  <c r="I54" i="2"/>
  <c r="H54" i="2"/>
  <c r="E54" i="2" s="1"/>
  <c r="G54" i="2"/>
  <c r="H118" i="2" l="1"/>
  <c r="E118" i="2" s="1"/>
  <c r="R116" i="2"/>
  <c r="O123" i="2"/>
  <c r="E373" i="2"/>
  <c r="E123" i="2"/>
  <c r="AI445" i="2" l="1"/>
  <c r="AI444" i="2" s="1"/>
  <c r="AD445" i="2"/>
  <c r="AD444" i="2" s="1"/>
  <c r="Y445" i="2"/>
  <c r="Y444" i="2" s="1"/>
  <c r="T445" i="2"/>
  <c r="T444" i="2" s="1"/>
  <c r="O445" i="2"/>
  <c r="O444" i="2" s="1"/>
  <c r="J445" i="2"/>
  <c r="J444" i="2" s="1"/>
  <c r="I445" i="2"/>
  <c r="I444" i="2" s="1"/>
  <c r="H445" i="2"/>
  <c r="G445" i="2"/>
  <c r="G444" i="2" s="1"/>
  <c r="F445" i="2"/>
  <c r="F444" i="2" s="1"/>
  <c r="AM444" i="2"/>
  <c r="AL444" i="2"/>
  <c r="AK444" i="2"/>
  <c r="AJ444" i="2"/>
  <c r="AH444" i="2"/>
  <c r="AG444" i="2"/>
  <c r="AF444" i="2"/>
  <c r="AE444" i="2"/>
  <c r="AC444" i="2"/>
  <c r="AB444" i="2"/>
  <c r="AA444" i="2"/>
  <c r="Z444" i="2"/>
  <c r="X444" i="2"/>
  <c r="W444" i="2"/>
  <c r="V444" i="2"/>
  <c r="U444" i="2"/>
  <c r="S444" i="2"/>
  <c r="R444" i="2"/>
  <c r="Q444" i="2"/>
  <c r="P444" i="2"/>
  <c r="N444" i="2"/>
  <c r="M444" i="2"/>
  <c r="L444" i="2"/>
  <c r="K444" i="2"/>
  <c r="E445" i="2" l="1"/>
  <c r="E444" i="2" s="1"/>
  <c r="H444" i="2"/>
  <c r="R383" i="2"/>
  <c r="F386" i="2"/>
  <c r="G386" i="2"/>
  <c r="H386" i="2"/>
  <c r="I386" i="2"/>
  <c r="J386" i="2"/>
  <c r="O386" i="2"/>
  <c r="T386" i="2"/>
  <c r="Y386" i="2"/>
  <c r="AD386" i="2"/>
  <c r="AI386" i="2"/>
  <c r="E386" i="2" l="1"/>
  <c r="AI155" i="2" l="1"/>
  <c r="AD155" i="2"/>
  <c r="Y155" i="2"/>
  <c r="T155" i="2"/>
  <c r="O155" i="2"/>
  <c r="J155" i="2"/>
  <c r="I155" i="2"/>
  <c r="H155" i="2"/>
  <c r="G155" i="2"/>
  <c r="R22" i="2"/>
  <c r="R21" i="2"/>
  <c r="R20" i="2"/>
  <c r="R19" i="2"/>
  <c r="R11" i="2" s="1"/>
  <c r="E155" i="2" l="1"/>
  <c r="K442" i="2"/>
  <c r="L442" i="2"/>
  <c r="M442" i="2"/>
  <c r="N442" i="2"/>
  <c r="P442" i="2"/>
  <c r="Q442" i="2"/>
  <c r="R442" i="2"/>
  <c r="S442" i="2"/>
  <c r="U442" i="2"/>
  <c r="V442" i="2"/>
  <c r="W442" i="2"/>
  <c r="X442" i="2"/>
  <c r="Z442" i="2"/>
  <c r="AA442" i="2"/>
  <c r="AB442" i="2"/>
  <c r="AC442" i="2"/>
  <c r="AE442" i="2"/>
  <c r="AF442" i="2"/>
  <c r="AG442" i="2"/>
  <c r="AH442" i="2"/>
  <c r="AJ442" i="2"/>
  <c r="AK442" i="2"/>
  <c r="AL442" i="2"/>
  <c r="AM442" i="2"/>
  <c r="AI186" i="2" l="1"/>
  <c r="AD186" i="2"/>
  <c r="Y186" i="2"/>
  <c r="T186" i="2"/>
  <c r="O186" i="2"/>
  <c r="J186" i="2"/>
  <c r="I186" i="2"/>
  <c r="H186" i="2"/>
  <c r="G186" i="2"/>
  <c r="F186" i="2"/>
  <c r="AI427" i="2"/>
  <c r="AD427" i="2"/>
  <c r="Y427" i="2"/>
  <c r="T427" i="2"/>
  <c r="O427" i="2"/>
  <c r="J427" i="2"/>
  <c r="I427" i="2"/>
  <c r="H427" i="2"/>
  <c r="G427" i="2"/>
  <c r="F427" i="2"/>
  <c r="E186" i="2" l="1"/>
  <c r="E427" i="2"/>
  <c r="AI50" i="2"/>
  <c r="AD50" i="2"/>
  <c r="Y50" i="2"/>
  <c r="T50" i="2"/>
  <c r="O50" i="2"/>
  <c r="J50" i="2"/>
  <c r="I50" i="2"/>
  <c r="H50" i="2"/>
  <c r="E50" i="2" s="1"/>
  <c r="G50" i="2"/>
  <c r="AJ103" i="2"/>
  <c r="AE103" i="2" s="1"/>
  <c r="O103" i="2"/>
  <c r="N103" i="2"/>
  <c r="I103" i="2" s="1"/>
  <c r="H103" i="2"/>
  <c r="E103" i="2" s="1"/>
  <c r="G103" i="2"/>
  <c r="AI317" i="2"/>
  <c r="AD317" i="2"/>
  <c r="Y317" i="2"/>
  <c r="T317" i="2"/>
  <c r="O317" i="2"/>
  <c r="J317" i="2"/>
  <c r="I317" i="2"/>
  <c r="H317" i="2"/>
  <c r="G317" i="2"/>
  <c r="F317" i="2"/>
  <c r="AI51" i="2"/>
  <c r="AD51" i="2"/>
  <c r="Y51" i="2"/>
  <c r="T51" i="2"/>
  <c r="O51" i="2"/>
  <c r="J51" i="2"/>
  <c r="I51" i="2"/>
  <c r="H51" i="2"/>
  <c r="E51" i="2" s="1"/>
  <c r="AI370" i="2"/>
  <c r="AD370" i="2"/>
  <c r="Y370" i="2"/>
  <c r="O370" i="2"/>
  <c r="J370" i="2"/>
  <c r="I370" i="2"/>
  <c r="H370" i="2"/>
  <c r="G370" i="2"/>
  <c r="F370" i="2"/>
  <c r="AI369" i="2"/>
  <c r="AD369" i="2"/>
  <c r="Y369" i="2"/>
  <c r="O369" i="2"/>
  <c r="J369" i="2"/>
  <c r="I369" i="2"/>
  <c r="H369" i="2"/>
  <c r="G369" i="2"/>
  <c r="F369" i="2"/>
  <c r="AI371" i="2"/>
  <c r="AD371" i="2"/>
  <c r="Y371" i="2"/>
  <c r="O371" i="2"/>
  <c r="J371" i="2"/>
  <c r="I371" i="2"/>
  <c r="H371" i="2"/>
  <c r="G371" i="2"/>
  <c r="F371" i="2"/>
  <c r="E369" i="2" l="1"/>
  <c r="E371" i="2"/>
  <c r="J103" i="2"/>
  <c r="E317" i="2"/>
  <c r="AI103" i="2"/>
  <c r="Z103" i="2"/>
  <c r="Y103" i="2" s="1"/>
  <c r="AD103" i="2"/>
  <c r="E370" i="2"/>
  <c r="AI107" i="2"/>
  <c r="AD107" i="2"/>
  <c r="Y107" i="2"/>
  <c r="T107" i="2"/>
  <c r="O107" i="2"/>
  <c r="J107" i="2"/>
  <c r="I107" i="2"/>
  <c r="H107" i="2"/>
  <c r="G107" i="2"/>
  <c r="AI423" i="2"/>
  <c r="AD423" i="2"/>
  <c r="Y423" i="2"/>
  <c r="T423" i="2"/>
  <c r="O423" i="2"/>
  <c r="J423" i="2"/>
  <c r="I423" i="2"/>
  <c r="H423" i="2"/>
  <c r="G423" i="2"/>
  <c r="F423" i="2"/>
  <c r="R242" i="2"/>
  <c r="E107" i="2" l="1"/>
  <c r="U103" i="2"/>
  <c r="E423" i="2"/>
  <c r="AI387" i="2"/>
  <c r="AD387" i="2"/>
  <c r="Y387" i="2"/>
  <c r="T387" i="2"/>
  <c r="O387" i="2"/>
  <c r="J387" i="2"/>
  <c r="I387" i="2"/>
  <c r="H387" i="2"/>
  <c r="G387" i="2"/>
  <c r="F387" i="2"/>
  <c r="AI441" i="2"/>
  <c r="AD441" i="2"/>
  <c r="Y441" i="2"/>
  <c r="T441" i="2"/>
  <c r="O441" i="2"/>
  <c r="J441" i="2"/>
  <c r="I441" i="2"/>
  <c r="H441" i="2"/>
  <c r="G441" i="2"/>
  <c r="F441" i="2"/>
  <c r="AI318" i="2"/>
  <c r="AD318" i="2"/>
  <c r="Y318" i="2"/>
  <c r="T318" i="2"/>
  <c r="O318" i="2"/>
  <c r="J318" i="2"/>
  <c r="I318" i="2"/>
  <c r="H318" i="2"/>
  <c r="G318" i="2"/>
  <c r="F318" i="2"/>
  <c r="M378" i="2"/>
  <c r="AI372" i="2"/>
  <c r="AD372" i="2"/>
  <c r="Y372" i="2"/>
  <c r="O372" i="2"/>
  <c r="J372" i="2"/>
  <c r="I372" i="2"/>
  <c r="H372" i="2"/>
  <c r="H367" i="2" s="1"/>
  <c r="G372" i="2"/>
  <c r="F372" i="2"/>
  <c r="AI368" i="2"/>
  <c r="AD368" i="2"/>
  <c r="Y368" i="2"/>
  <c r="O368" i="2"/>
  <c r="O367" i="2" s="1"/>
  <c r="J368" i="2"/>
  <c r="I368" i="2"/>
  <c r="G368" i="2"/>
  <c r="G367" i="2" s="1"/>
  <c r="F368" i="2"/>
  <c r="F367" i="2" s="1"/>
  <c r="AI316" i="2"/>
  <c r="AD316" i="2"/>
  <c r="Y316" i="2"/>
  <c r="T316" i="2"/>
  <c r="O316" i="2"/>
  <c r="M316" i="2"/>
  <c r="J316" i="2" s="1"/>
  <c r="I316" i="2"/>
  <c r="G316" i="2"/>
  <c r="F316" i="2"/>
  <c r="Y367" i="2" l="1"/>
  <c r="I367" i="2"/>
  <c r="J367" i="2"/>
  <c r="AI367" i="2"/>
  <c r="AD367" i="2"/>
  <c r="E368" i="2"/>
  <c r="T103" i="2"/>
  <c r="F103" i="2"/>
  <c r="E318" i="2"/>
  <c r="H316" i="2"/>
  <c r="E316" i="2" s="1"/>
  <c r="E441" i="2"/>
  <c r="E387" i="2"/>
  <c r="E372" i="2"/>
  <c r="AI404" i="2"/>
  <c r="AD404" i="2"/>
  <c r="Y404" i="2"/>
  <c r="T404" i="2"/>
  <c r="O404" i="2"/>
  <c r="J404" i="2"/>
  <c r="I404" i="2"/>
  <c r="H404" i="2"/>
  <c r="G404" i="2"/>
  <c r="E367" i="2" l="1"/>
  <c r="E404" i="2"/>
  <c r="R244" i="2"/>
  <c r="R238" i="2" s="1"/>
  <c r="AI162" i="2"/>
  <c r="AD162" i="2"/>
  <c r="Y162" i="2"/>
  <c r="T162" i="2"/>
  <c r="O162" i="2"/>
  <c r="J162" i="2"/>
  <c r="I162" i="2"/>
  <c r="H162" i="2"/>
  <c r="G162" i="2"/>
  <c r="AI53" i="2"/>
  <c r="AD53" i="2"/>
  <c r="Y53" i="2"/>
  <c r="T53" i="2"/>
  <c r="O53" i="2"/>
  <c r="J53" i="2"/>
  <c r="I53" i="2"/>
  <c r="H53" i="2"/>
  <c r="E53" i="2" s="1"/>
  <c r="G53" i="2"/>
  <c r="AI52" i="2"/>
  <c r="AD52" i="2"/>
  <c r="Y52" i="2"/>
  <c r="T52" i="2"/>
  <c r="O52" i="2"/>
  <c r="J52" i="2"/>
  <c r="I52" i="2"/>
  <c r="H52" i="2"/>
  <c r="E52" i="2" s="1"/>
  <c r="G52" i="2"/>
  <c r="E162" i="2" l="1"/>
  <c r="T22" i="2"/>
  <c r="H22" i="2"/>
  <c r="J22" i="2"/>
  <c r="I22" i="2"/>
  <c r="G22" i="2"/>
  <c r="AI85" i="2"/>
  <c r="AD85" i="2"/>
  <c r="T85" i="2"/>
  <c r="O85" i="2"/>
  <c r="J85" i="2"/>
  <c r="I85" i="2"/>
  <c r="H85" i="2"/>
  <c r="G85" i="2"/>
  <c r="F85" i="2"/>
  <c r="AJ102" i="2"/>
  <c r="AI102" i="2" s="1"/>
  <c r="R102" i="2"/>
  <c r="H102" i="2" s="1"/>
  <c r="E102" i="2" s="1"/>
  <c r="N102" i="2"/>
  <c r="J102" i="2" s="1"/>
  <c r="G102" i="2"/>
  <c r="R101" i="2"/>
  <c r="O102" i="2" l="1"/>
  <c r="R97" i="2"/>
  <c r="O22" i="2"/>
  <c r="E85" i="2"/>
  <c r="I102" i="2"/>
  <c r="E22" i="2"/>
  <c r="AE102" i="2"/>
  <c r="AD102" i="2" s="1"/>
  <c r="Z102" i="2" l="1"/>
  <c r="Y102" i="2" s="1"/>
  <c r="AI443" i="2"/>
  <c r="AI442" i="2" s="1"/>
  <c r="AD443" i="2"/>
  <c r="AD442" i="2" s="1"/>
  <c r="Y443" i="2"/>
  <c r="Y442" i="2" s="1"/>
  <c r="T443" i="2"/>
  <c r="T442" i="2" s="1"/>
  <c r="O443" i="2"/>
  <c r="O442" i="2" s="1"/>
  <c r="J443" i="2"/>
  <c r="J442" i="2" s="1"/>
  <c r="I443" i="2"/>
  <c r="I442" i="2" s="1"/>
  <c r="H443" i="2"/>
  <c r="H442" i="2" s="1"/>
  <c r="G443" i="2"/>
  <c r="G442" i="2" s="1"/>
  <c r="F443" i="2"/>
  <c r="F442" i="2" s="1"/>
  <c r="R324" i="2"/>
  <c r="AI84" i="2"/>
  <c r="AD84" i="2"/>
  <c r="T84" i="2"/>
  <c r="O84" i="2"/>
  <c r="J84" i="2"/>
  <c r="I84" i="2"/>
  <c r="H84" i="2"/>
  <c r="G84" i="2"/>
  <c r="F84" i="2"/>
  <c r="AI402" i="2"/>
  <c r="AD402" i="2"/>
  <c r="Y402" i="2"/>
  <c r="T402" i="2"/>
  <c r="O402" i="2"/>
  <c r="J402" i="2"/>
  <c r="I402" i="2"/>
  <c r="H402" i="2"/>
  <c r="G402" i="2"/>
  <c r="E443" i="2" l="1"/>
  <c r="E442" i="2" s="1"/>
  <c r="U102" i="2"/>
  <c r="E402" i="2"/>
  <c r="E84" i="2"/>
  <c r="T20" i="2"/>
  <c r="T21" i="2"/>
  <c r="T23" i="2"/>
  <c r="T19" i="2"/>
  <c r="I19" i="2"/>
  <c r="J19" i="2"/>
  <c r="I20" i="2"/>
  <c r="J20" i="2"/>
  <c r="I21" i="2"/>
  <c r="J21" i="2"/>
  <c r="I23" i="2"/>
  <c r="J23" i="2"/>
  <c r="G23" i="2"/>
  <c r="H20" i="2"/>
  <c r="G20" i="2"/>
  <c r="H19" i="2"/>
  <c r="G19" i="2"/>
  <c r="H21" i="2"/>
  <c r="O20" i="2"/>
  <c r="O21" i="2"/>
  <c r="O19" i="2"/>
  <c r="E23" i="2" l="1"/>
  <c r="T102" i="2"/>
  <c r="F102" i="2"/>
  <c r="E20" i="2"/>
  <c r="E19" i="2"/>
  <c r="G21" i="2"/>
  <c r="E21" i="2" s="1"/>
  <c r="F478" i="2"/>
  <c r="K478" i="2"/>
  <c r="L478" i="2"/>
  <c r="M478" i="2"/>
  <c r="N478" i="2"/>
  <c r="P478" i="2"/>
  <c r="Q478" i="2"/>
  <c r="R478" i="2"/>
  <c r="AM478" i="2"/>
  <c r="AL478" i="2"/>
  <c r="AK478" i="2"/>
  <c r="AJ478" i="2"/>
  <c r="AI478" i="2"/>
  <c r="AH478" i="2"/>
  <c r="AG478" i="2"/>
  <c r="AF478" i="2"/>
  <c r="AE478" i="2"/>
  <c r="AD478" i="2"/>
  <c r="AC478" i="2"/>
  <c r="AB478" i="2"/>
  <c r="AA478" i="2"/>
  <c r="Z478" i="2"/>
  <c r="Y478" i="2"/>
  <c r="X478" i="2"/>
  <c r="W478" i="2"/>
  <c r="V478" i="2"/>
  <c r="U478" i="2"/>
  <c r="S478" i="2"/>
  <c r="AM287" i="2"/>
  <c r="AL287" i="2"/>
  <c r="AK287" i="2"/>
  <c r="AH287" i="2"/>
  <c r="AG287" i="2"/>
  <c r="AF287" i="2"/>
  <c r="AC287" i="2"/>
  <c r="AB287" i="2"/>
  <c r="AA287" i="2"/>
  <c r="X287" i="2"/>
  <c r="V287" i="2"/>
  <c r="S287" i="2"/>
  <c r="Q287" i="2"/>
  <c r="P287" i="2"/>
  <c r="N287" i="2"/>
  <c r="K287" i="2"/>
  <c r="G288" i="2"/>
  <c r="G290" i="2"/>
  <c r="G291" i="2"/>
  <c r="G292" i="2"/>
  <c r="G293" i="2"/>
  <c r="G294" i="2"/>
  <c r="G295" i="2"/>
  <c r="G296" i="2"/>
  <c r="H290" i="2"/>
  <c r="H291" i="2"/>
  <c r="H292" i="2"/>
  <c r="H293" i="2"/>
  <c r="H294" i="2"/>
  <c r="H295" i="2"/>
  <c r="H296" i="2"/>
  <c r="I296" i="2"/>
  <c r="O296" i="2"/>
  <c r="G478" i="2" l="1"/>
  <c r="O478" i="2"/>
  <c r="I478" i="2"/>
  <c r="J478" i="2"/>
  <c r="H478" i="2"/>
  <c r="E296" i="2"/>
  <c r="E478" i="2" l="1"/>
  <c r="M150" i="2"/>
  <c r="AI345" i="2" l="1"/>
  <c r="AI473" i="2" l="1"/>
  <c r="AD473" i="2"/>
  <c r="Y473" i="2"/>
  <c r="T473" i="2"/>
  <c r="O473" i="2"/>
  <c r="N473" i="2"/>
  <c r="I473" i="2" s="1"/>
  <c r="M473" i="2"/>
  <c r="H473" i="2" s="1"/>
  <c r="G473" i="2"/>
  <c r="E473" i="2" l="1"/>
  <c r="J473" i="2"/>
  <c r="R380" i="2"/>
  <c r="M239" i="2" l="1"/>
  <c r="AI47" i="2"/>
  <c r="AD47" i="2"/>
  <c r="Y47" i="2"/>
  <c r="T47" i="2"/>
  <c r="O47" i="2"/>
  <c r="J47" i="2"/>
  <c r="I47" i="2"/>
  <c r="H47" i="2"/>
  <c r="E47" i="2" s="1"/>
  <c r="G47" i="2"/>
  <c r="T449" i="2" l="1"/>
  <c r="T450" i="2"/>
  <c r="T451" i="2"/>
  <c r="T452" i="2"/>
  <c r="T454" i="2"/>
  <c r="T455" i="2"/>
  <c r="T456" i="2"/>
  <c r="T457" i="2"/>
  <c r="T458" i="2"/>
  <c r="T459" i="2"/>
  <c r="T460" i="2"/>
  <c r="T461" i="2"/>
  <c r="T462" i="2"/>
  <c r="T463" i="2"/>
  <c r="T464" i="2"/>
  <c r="T465" i="2"/>
  <c r="AD210" i="2" l="1"/>
  <c r="AD211" i="2"/>
  <c r="AD212" i="2"/>
  <c r="AD217" i="2"/>
  <c r="AD231" i="2"/>
  <c r="AD232" i="2"/>
  <c r="AD213" i="2"/>
  <c r="AD214" i="2"/>
  <c r="AI210" i="2"/>
  <c r="AI211" i="2"/>
  <c r="AI212" i="2"/>
  <c r="AI217" i="2"/>
  <c r="AI231" i="2"/>
  <c r="AI232" i="2"/>
  <c r="AI213" i="2"/>
  <c r="AI214" i="2"/>
  <c r="Y210" i="2"/>
  <c r="Y211" i="2"/>
  <c r="Y212" i="2"/>
  <c r="Y217" i="2"/>
  <c r="Y231" i="2"/>
  <c r="Y232" i="2"/>
  <c r="T214" i="2"/>
  <c r="T213" i="2"/>
  <c r="T210" i="2"/>
  <c r="T211" i="2"/>
  <c r="T212" i="2"/>
  <c r="T217" i="2"/>
  <c r="T231" i="2"/>
  <c r="T232" i="2"/>
  <c r="O210" i="2"/>
  <c r="O211" i="2"/>
  <c r="O212" i="2"/>
  <c r="O217" i="2"/>
  <c r="O231" i="2"/>
  <c r="O232" i="2"/>
  <c r="O213" i="2"/>
  <c r="O214" i="2"/>
  <c r="M210" i="2"/>
  <c r="J217" i="2"/>
  <c r="J231" i="2"/>
  <c r="J232" i="2"/>
  <c r="J213" i="2"/>
  <c r="I210" i="2"/>
  <c r="I217" i="2"/>
  <c r="I231" i="2"/>
  <c r="I232" i="2"/>
  <c r="I213" i="2"/>
  <c r="I214" i="2"/>
  <c r="H217" i="2"/>
  <c r="H231" i="2"/>
  <c r="H232" i="2"/>
  <c r="G210" i="2"/>
  <c r="G211" i="2"/>
  <c r="G212" i="2"/>
  <c r="G217" i="2"/>
  <c r="G231" i="2"/>
  <c r="G232" i="2"/>
  <c r="G213" i="2"/>
  <c r="G214" i="2"/>
  <c r="AI241" i="2"/>
  <c r="AI242" i="2"/>
  <c r="AI243" i="2"/>
  <c r="AI244" i="2"/>
  <c r="AI245" i="2"/>
  <c r="AI246" i="2"/>
  <c r="AI247" i="2"/>
  <c r="AI248" i="2"/>
  <c r="AI249" i="2"/>
  <c r="AI250" i="2"/>
  <c r="AI251" i="2"/>
  <c r="AI252" i="2"/>
  <c r="AI253" i="2"/>
  <c r="AI254" i="2"/>
  <c r="AI255" i="2"/>
  <c r="AI256" i="2"/>
  <c r="AI257" i="2"/>
  <c r="AI258" i="2"/>
  <c r="AI259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Y241" i="2"/>
  <c r="Y242" i="2"/>
  <c r="Y243" i="2"/>
  <c r="Y244" i="2"/>
  <c r="Y245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O241" i="2"/>
  <c r="O242" i="2"/>
  <c r="O243" i="2"/>
  <c r="O244" i="2"/>
  <c r="O245" i="2"/>
  <c r="O246" i="2"/>
  <c r="O247" i="2"/>
  <c r="O248" i="2"/>
  <c r="O249" i="2"/>
  <c r="O251" i="2"/>
  <c r="O252" i="2"/>
  <c r="O253" i="2"/>
  <c r="O254" i="2"/>
  <c r="O255" i="2"/>
  <c r="O256" i="2"/>
  <c r="O257" i="2"/>
  <c r="O258" i="2"/>
  <c r="O259" i="2"/>
  <c r="M307" i="2"/>
  <c r="J307" i="2" s="1"/>
  <c r="O239" i="2"/>
  <c r="J241" i="2"/>
  <c r="J242" i="2"/>
  <c r="J243" i="2"/>
  <c r="J244" i="2"/>
  <c r="J245" i="2"/>
  <c r="J246" i="2"/>
  <c r="J247" i="2"/>
  <c r="J248" i="2"/>
  <c r="J249" i="2"/>
  <c r="J250" i="2"/>
  <c r="J251" i="2"/>
  <c r="J257" i="2"/>
  <c r="J258" i="2"/>
  <c r="J259" i="2"/>
  <c r="I241" i="2"/>
  <c r="I242" i="2"/>
  <c r="I243" i="2"/>
  <c r="I244" i="2"/>
  <c r="I245" i="2"/>
  <c r="I246" i="2"/>
  <c r="I247" i="2"/>
  <c r="I248" i="2"/>
  <c r="I249" i="2"/>
  <c r="I250" i="2"/>
  <c r="I251" i="2"/>
  <c r="I257" i="2"/>
  <c r="I258" i="2"/>
  <c r="I259" i="2"/>
  <c r="I239" i="2"/>
  <c r="H241" i="2"/>
  <c r="H242" i="2"/>
  <c r="H243" i="2"/>
  <c r="H244" i="2"/>
  <c r="H245" i="2"/>
  <c r="H246" i="2"/>
  <c r="H247" i="2"/>
  <c r="H248" i="2"/>
  <c r="H249" i="2"/>
  <c r="H251" i="2"/>
  <c r="H257" i="2"/>
  <c r="H258" i="2"/>
  <c r="H259" i="2"/>
  <c r="H239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39" i="2"/>
  <c r="AI265" i="2"/>
  <c r="AI266" i="2"/>
  <c r="AI267" i="2"/>
  <c r="AI268" i="2"/>
  <c r="AI269" i="2"/>
  <c r="AI276" i="2"/>
  <c r="AI277" i="2"/>
  <c r="AI278" i="2"/>
  <c r="AI279" i="2"/>
  <c r="AI280" i="2"/>
  <c r="AI281" i="2"/>
  <c r="AI282" i="2"/>
  <c r="AI283" i="2"/>
  <c r="AI284" i="2"/>
  <c r="AI264" i="2"/>
  <c r="AD265" i="2"/>
  <c r="AD266" i="2"/>
  <c r="AD267" i="2"/>
  <c r="AD268" i="2"/>
  <c r="AD269" i="2"/>
  <c r="AD276" i="2"/>
  <c r="AD277" i="2"/>
  <c r="AD278" i="2"/>
  <c r="AD279" i="2"/>
  <c r="AD280" i="2"/>
  <c r="AD281" i="2"/>
  <c r="AD282" i="2"/>
  <c r="AD283" i="2"/>
  <c r="AD284" i="2"/>
  <c r="Y265" i="2"/>
  <c r="Y266" i="2"/>
  <c r="Y267" i="2"/>
  <c r="Y268" i="2"/>
  <c r="Y269" i="2"/>
  <c r="Y276" i="2"/>
  <c r="Y277" i="2"/>
  <c r="Y278" i="2"/>
  <c r="Y279" i="2"/>
  <c r="Y280" i="2"/>
  <c r="Y281" i="2"/>
  <c r="Y282" i="2"/>
  <c r="Y283" i="2"/>
  <c r="Y284" i="2"/>
  <c r="Y264" i="2"/>
  <c r="AD264" i="2"/>
  <c r="T265" i="2"/>
  <c r="T266" i="2"/>
  <c r="T267" i="2"/>
  <c r="T268" i="2"/>
  <c r="T269" i="2"/>
  <c r="T276" i="2"/>
  <c r="T277" i="2"/>
  <c r="T278" i="2"/>
  <c r="T279" i="2"/>
  <c r="T280" i="2"/>
  <c r="T281" i="2"/>
  <c r="T282" i="2"/>
  <c r="T283" i="2"/>
  <c r="T284" i="2"/>
  <c r="T264" i="2"/>
  <c r="O265" i="2"/>
  <c r="O266" i="2"/>
  <c r="O267" i="2"/>
  <c r="O268" i="2"/>
  <c r="O269" i="2"/>
  <c r="O276" i="2"/>
  <c r="O277" i="2"/>
  <c r="O278" i="2"/>
  <c r="O279" i="2"/>
  <c r="O280" i="2"/>
  <c r="O281" i="2"/>
  <c r="O282" i="2"/>
  <c r="O283" i="2"/>
  <c r="O284" i="2"/>
  <c r="J265" i="2"/>
  <c r="J267" i="2"/>
  <c r="J268" i="2"/>
  <c r="J269" i="2"/>
  <c r="J276" i="2"/>
  <c r="J277" i="2"/>
  <c r="J278" i="2"/>
  <c r="J279" i="2"/>
  <c r="J280" i="2"/>
  <c r="J281" i="2"/>
  <c r="J282" i="2"/>
  <c r="J283" i="2"/>
  <c r="J284" i="2"/>
  <c r="I267" i="2"/>
  <c r="I268" i="2"/>
  <c r="I269" i="2"/>
  <c r="I276" i="2"/>
  <c r="I277" i="2"/>
  <c r="I278" i="2"/>
  <c r="I279" i="2"/>
  <c r="I280" i="2"/>
  <c r="I281" i="2"/>
  <c r="I282" i="2"/>
  <c r="I283" i="2"/>
  <c r="I284" i="2"/>
  <c r="I265" i="2"/>
  <c r="I264" i="2"/>
  <c r="H265" i="2"/>
  <c r="H267" i="2"/>
  <c r="H268" i="2"/>
  <c r="H269" i="2"/>
  <c r="H277" i="2"/>
  <c r="H278" i="2"/>
  <c r="H279" i="2"/>
  <c r="H280" i="2"/>
  <c r="H281" i="2"/>
  <c r="H282" i="2"/>
  <c r="H283" i="2"/>
  <c r="H284" i="2"/>
  <c r="G265" i="2"/>
  <c r="G266" i="2"/>
  <c r="G267" i="2"/>
  <c r="G268" i="2"/>
  <c r="G269" i="2"/>
  <c r="G276" i="2"/>
  <c r="G277" i="2"/>
  <c r="G278" i="2"/>
  <c r="G279" i="2"/>
  <c r="G280" i="2"/>
  <c r="G281" i="2"/>
  <c r="G282" i="2"/>
  <c r="G283" i="2"/>
  <c r="G284" i="2"/>
  <c r="K263" i="2"/>
  <c r="P263" i="2"/>
  <c r="U263" i="2"/>
  <c r="V263" i="2"/>
  <c r="X263" i="2"/>
  <c r="Z263" i="2"/>
  <c r="AA263" i="2"/>
  <c r="AE263" i="2"/>
  <c r="AF263" i="2"/>
  <c r="AG263" i="2"/>
  <c r="AH263" i="2"/>
  <c r="AJ263" i="2"/>
  <c r="AK263" i="2"/>
  <c r="AL263" i="2"/>
  <c r="AM263" i="2"/>
  <c r="Y289" i="2"/>
  <c r="Y290" i="2"/>
  <c r="Y291" i="2"/>
  <c r="Y292" i="2"/>
  <c r="Y293" i="2"/>
  <c r="Y294" i="2"/>
  <c r="Y295" i="2"/>
  <c r="Y288" i="2"/>
  <c r="AD289" i="2"/>
  <c r="AD290" i="2"/>
  <c r="AD291" i="2"/>
  <c r="AD292" i="2"/>
  <c r="AD293" i="2"/>
  <c r="AD294" i="2"/>
  <c r="AD295" i="2"/>
  <c r="AD288" i="2"/>
  <c r="AI289" i="2"/>
  <c r="AI290" i="2"/>
  <c r="AI291" i="2"/>
  <c r="AI292" i="2"/>
  <c r="AI293" i="2"/>
  <c r="AI294" i="2"/>
  <c r="AI295" i="2"/>
  <c r="AI288" i="2"/>
  <c r="T289" i="2"/>
  <c r="T290" i="2"/>
  <c r="T291" i="2"/>
  <c r="T292" i="2"/>
  <c r="T293" i="2"/>
  <c r="T294" i="2"/>
  <c r="T295" i="2"/>
  <c r="T288" i="2"/>
  <c r="O289" i="2"/>
  <c r="O290" i="2"/>
  <c r="O291" i="2"/>
  <c r="O292" i="2"/>
  <c r="O293" i="2"/>
  <c r="O294" i="2"/>
  <c r="O295" i="2"/>
  <c r="O288" i="2"/>
  <c r="J290" i="2"/>
  <c r="J291" i="2"/>
  <c r="J292" i="2"/>
  <c r="J293" i="2"/>
  <c r="J294" i="2"/>
  <c r="J295" i="2"/>
  <c r="I289" i="2"/>
  <c r="I290" i="2"/>
  <c r="I291" i="2"/>
  <c r="I292" i="2"/>
  <c r="I293" i="2"/>
  <c r="I294" i="2"/>
  <c r="I295" i="2"/>
  <c r="I288" i="2"/>
  <c r="U287" i="2"/>
  <c r="Z287" i="2"/>
  <c r="AE287" i="2"/>
  <c r="AJ287" i="2"/>
  <c r="I299" i="2"/>
  <c r="H299" i="2"/>
  <c r="G299" i="2"/>
  <c r="T302" i="2"/>
  <c r="T303" i="2"/>
  <c r="T304" i="2"/>
  <c r="T305" i="2"/>
  <c r="T306" i="2"/>
  <c r="T307" i="2"/>
  <c r="T308" i="2"/>
  <c r="T309" i="2"/>
  <c r="T310" i="2"/>
  <c r="O302" i="2"/>
  <c r="O303" i="2"/>
  <c r="O304" i="2"/>
  <c r="O305" i="2"/>
  <c r="O306" i="2"/>
  <c r="O307" i="2"/>
  <c r="O308" i="2"/>
  <c r="O309" i="2"/>
  <c r="O310" i="2"/>
  <c r="J302" i="2"/>
  <c r="J303" i="2"/>
  <c r="J304" i="2"/>
  <c r="J305" i="2"/>
  <c r="J306" i="2"/>
  <c r="J309" i="2"/>
  <c r="J310" i="2"/>
  <c r="I302" i="2"/>
  <c r="I303" i="2"/>
  <c r="I304" i="2"/>
  <c r="I305" i="2"/>
  <c r="I306" i="2"/>
  <c r="I307" i="2"/>
  <c r="I308" i="2"/>
  <c r="I309" i="2"/>
  <c r="I310" i="2"/>
  <c r="I301" i="2"/>
  <c r="H303" i="2"/>
  <c r="H304" i="2"/>
  <c r="H305" i="2"/>
  <c r="H306" i="2"/>
  <c r="H309" i="2"/>
  <c r="H310" i="2"/>
  <c r="H302" i="2"/>
  <c r="H301" i="2"/>
  <c r="G302" i="2"/>
  <c r="G303" i="2"/>
  <c r="G304" i="2"/>
  <c r="G305" i="2"/>
  <c r="G306" i="2"/>
  <c r="G307" i="2"/>
  <c r="G308" i="2"/>
  <c r="G309" i="2"/>
  <c r="G310" i="2"/>
  <c r="G301" i="2"/>
  <c r="AM300" i="2"/>
  <c r="K300" i="2"/>
  <c r="L300" i="2"/>
  <c r="N300" i="2"/>
  <c r="P300" i="2"/>
  <c r="Q300" i="2"/>
  <c r="R300" i="2"/>
  <c r="S300" i="2"/>
  <c r="U300" i="2"/>
  <c r="V300" i="2"/>
  <c r="X300" i="2"/>
  <c r="Z300" i="2"/>
  <c r="AA300" i="2"/>
  <c r="AB300" i="2"/>
  <c r="AC300" i="2"/>
  <c r="AE300" i="2"/>
  <c r="AF300" i="2"/>
  <c r="AG300" i="2"/>
  <c r="AH300" i="2"/>
  <c r="AJ300" i="2"/>
  <c r="AK300" i="2"/>
  <c r="AL300" i="2"/>
  <c r="AD319" i="2"/>
  <c r="AD313" i="2"/>
  <c r="AD314" i="2"/>
  <c r="AI313" i="2"/>
  <c r="AI314" i="2"/>
  <c r="AI319" i="2"/>
  <c r="Y313" i="2"/>
  <c r="Y314" i="2"/>
  <c r="Y319" i="2"/>
  <c r="T313" i="2"/>
  <c r="T314" i="2"/>
  <c r="T319" i="2"/>
  <c r="O313" i="2"/>
  <c r="O314" i="2"/>
  <c r="O319" i="2"/>
  <c r="J313" i="2"/>
  <c r="J314" i="2"/>
  <c r="I319" i="2"/>
  <c r="I313" i="2"/>
  <c r="I314" i="2"/>
  <c r="I312" i="2"/>
  <c r="H313" i="2"/>
  <c r="H314" i="2"/>
  <c r="H312" i="2"/>
  <c r="G313" i="2"/>
  <c r="G314" i="2"/>
  <c r="G319" i="2"/>
  <c r="G312" i="2"/>
  <c r="K311" i="2"/>
  <c r="L311" i="2"/>
  <c r="N311" i="2"/>
  <c r="P311" i="2"/>
  <c r="Q311" i="2"/>
  <c r="S311" i="2"/>
  <c r="U311" i="2"/>
  <c r="V311" i="2"/>
  <c r="W311" i="2"/>
  <c r="X311" i="2"/>
  <c r="Z311" i="2"/>
  <c r="AA311" i="2"/>
  <c r="AB311" i="2"/>
  <c r="AC311" i="2"/>
  <c r="AE311" i="2"/>
  <c r="AF311" i="2"/>
  <c r="AG311" i="2"/>
  <c r="AH311" i="2"/>
  <c r="AJ311" i="2"/>
  <c r="AK311" i="2"/>
  <c r="AL311" i="2"/>
  <c r="AM311" i="2"/>
  <c r="J325" i="2"/>
  <c r="J326" i="2"/>
  <c r="J327" i="2"/>
  <c r="J328" i="2"/>
  <c r="J330" i="2"/>
  <c r="J331" i="2"/>
  <c r="J332" i="2"/>
  <c r="J335" i="2"/>
  <c r="J337" i="2"/>
  <c r="J338" i="2"/>
  <c r="J339" i="2"/>
  <c r="J340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23" i="2"/>
  <c r="H328" i="2"/>
  <c r="H330" i="2"/>
  <c r="H331" i="2"/>
  <c r="H332" i="2"/>
  <c r="H335" i="2"/>
  <c r="H337" i="2"/>
  <c r="H338" i="2"/>
  <c r="H339" i="2"/>
  <c r="H340" i="2"/>
  <c r="H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23" i="2"/>
  <c r="K322" i="2"/>
  <c r="L322" i="2"/>
  <c r="N322" i="2"/>
  <c r="P322" i="2"/>
  <c r="Q322" i="2"/>
  <c r="R322" i="2"/>
  <c r="S322" i="2"/>
  <c r="U322" i="2"/>
  <c r="V322" i="2"/>
  <c r="W322" i="2"/>
  <c r="X322" i="2"/>
  <c r="Z322" i="2"/>
  <c r="AA322" i="2"/>
  <c r="AB322" i="2"/>
  <c r="AC322" i="2"/>
  <c r="AE322" i="2"/>
  <c r="AF322" i="2"/>
  <c r="AG322" i="2"/>
  <c r="AH322" i="2"/>
  <c r="AJ322" i="2"/>
  <c r="AK322" i="2"/>
  <c r="AL322" i="2"/>
  <c r="AM322" i="2"/>
  <c r="AI324" i="2"/>
  <c r="AI325" i="2"/>
  <c r="AI326" i="2"/>
  <c r="AI327" i="2"/>
  <c r="AI328" i="2"/>
  <c r="AI329" i="2"/>
  <c r="AI330" i="2"/>
  <c r="AI331" i="2"/>
  <c r="AI332" i="2"/>
  <c r="AI333" i="2"/>
  <c r="AI334" i="2"/>
  <c r="AI335" i="2"/>
  <c r="AI336" i="2"/>
  <c r="AI337" i="2"/>
  <c r="AI338" i="2"/>
  <c r="AI339" i="2"/>
  <c r="AI340" i="2"/>
  <c r="AI341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J344" i="2"/>
  <c r="J345" i="2"/>
  <c r="J348" i="2"/>
  <c r="J349" i="2"/>
  <c r="J350" i="2"/>
  <c r="J351" i="2"/>
  <c r="J352" i="2"/>
  <c r="J354" i="2"/>
  <c r="J355" i="2"/>
  <c r="J357" i="2"/>
  <c r="J358" i="2"/>
  <c r="J359" i="2"/>
  <c r="J360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43" i="2"/>
  <c r="H344" i="2"/>
  <c r="H345" i="2"/>
  <c r="H348" i="2"/>
  <c r="H349" i="2"/>
  <c r="H350" i="2"/>
  <c r="H351" i="2"/>
  <c r="H352" i="2"/>
  <c r="H354" i="2"/>
  <c r="H355" i="2"/>
  <c r="H357" i="2"/>
  <c r="H358" i="2"/>
  <c r="H359" i="2"/>
  <c r="H360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43" i="2"/>
  <c r="K342" i="2"/>
  <c r="L342" i="2"/>
  <c r="N342" i="2"/>
  <c r="P342" i="2"/>
  <c r="Q342" i="2"/>
  <c r="R342" i="2"/>
  <c r="S342" i="2"/>
  <c r="U342" i="2"/>
  <c r="V342" i="2"/>
  <c r="W342" i="2"/>
  <c r="X342" i="2"/>
  <c r="Z342" i="2"/>
  <c r="AA342" i="2"/>
  <c r="AB342" i="2"/>
  <c r="AC342" i="2"/>
  <c r="AE342" i="2"/>
  <c r="AF342" i="2"/>
  <c r="AG342" i="2"/>
  <c r="AH342" i="2"/>
  <c r="AJ342" i="2"/>
  <c r="AK342" i="2"/>
  <c r="AL342" i="2"/>
  <c r="AM342" i="2"/>
  <c r="AI363" i="2"/>
  <c r="AI362" i="2"/>
  <c r="AI361" i="2" s="1"/>
  <c r="AD363" i="2"/>
  <c r="AD362" i="2"/>
  <c r="AD361" i="2" s="1"/>
  <c r="Y363" i="2"/>
  <c r="Y362" i="2"/>
  <c r="Y361" i="2" s="1"/>
  <c r="O363" i="2"/>
  <c r="O362" i="2"/>
  <c r="I363" i="2"/>
  <c r="I362" i="2"/>
  <c r="I361" i="2" s="1"/>
  <c r="H363" i="2"/>
  <c r="H362" i="2"/>
  <c r="H361" i="2" s="1"/>
  <c r="G363" i="2"/>
  <c r="G362" i="2"/>
  <c r="G361" i="2" s="1"/>
  <c r="AI379" i="2"/>
  <c r="AI378" i="2" s="1"/>
  <c r="AD379" i="2"/>
  <c r="AD378" i="2" s="1"/>
  <c r="Y379" i="2"/>
  <c r="Y378" i="2" s="1"/>
  <c r="T379" i="2"/>
  <c r="T378" i="2" s="1"/>
  <c r="I379" i="2"/>
  <c r="I378" i="2" s="1"/>
  <c r="H379" i="2"/>
  <c r="H378" i="2" s="1"/>
  <c r="G379" i="2"/>
  <c r="G378" i="2" s="1"/>
  <c r="K378" i="2"/>
  <c r="L378" i="2"/>
  <c r="N378" i="2"/>
  <c r="P378" i="2"/>
  <c r="Q378" i="2"/>
  <c r="R378" i="2"/>
  <c r="S378" i="2"/>
  <c r="U378" i="2"/>
  <c r="V378" i="2"/>
  <c r="W378" i="2"/>
  <c r="X378" i="2"/>
  <c r="Z378" i="2"/>
  <c r="AA378" i="2"/>
  <c r="AB378" i="2"/>
  <c r="AC378" i="2"/>
  <c r="AE378" i="2"/>
  <c r="AF378" i="2"/>
  <c r="AG378" i="2"/>
  <c r="AH378" i="2"/>
  <c r="AJ378" i="2"/>
  <c r="AK378" i="2"/>
  <c r="AL378" i="2"/>
  <c r="AM378" i="2"/>
  <c r="AI382" i="2"/>
  <c r="AI381" i="2"/>
  <c r="AD382" i="2"/>
  <c r="AD381" i="2"/>
  <c r="Y382" i="2"/>
  <c r="Y381" i="2"/>
  <c r="T382" i="2"/>
  <c r="T381" i="2"/>
  <c r="O382" i="2"/>
  <c r="J382" i="2"/>
  <c r="I382" i="2"/>
  <c r="I381" i="2"/>
  <c r="G382" i="2"/>
  <c r="G381" i="2"/>
  <c r="K380" i="2"/>
  <c r="L380" i="2"/>
  <c r="M380" i="2"/>
  <c r="N380" i="2"/>
  <c r="P380" i="2"/>
  <c r="Q380" i="2"/>
  <c r="S380" i="2"/>
  <c r="U380" i="2"/>
  <c r="V380" i="2"/>
  <c r="X380" i="2"/>
  <c r="Z380" i="2"/>
  <c r="AA380" i="2"/>
  <c r="AB380" i="2"/>
  <c r="AC380" i="2"/>
  <c r="AE380" i="2"/>
  <c r="AF380" i="2"/>
  <c r="AG380" i="2"/>
  <c r="AH380" i="2"/>
  <c r="AJ380" i="2"/>
  <c r="AK380" i="2"/>
  <c r="AL380" i="2"/>
  <c r="AM380" i="2"/>
  <c r="AI385" i="2"/>
  <c r="AI388" i="2"/>
  <c r="AI384" i="2"/>
  <c r="AD385" i="2"/>
  <c r="AD388" i="2"/>
  <c r="AD384" i="2"/>
  <c r="Y385" i="2"/>
  <c r="Y388" i="2"/>
  <c r="Y384" i="2"/>
  <c r="T385" i="2"/>
  <c r="T388" i="2"/>
  <c r="T384" i="2"/>
  <c r="O385" i="2"/>
  <c r="O388" i="2"/>
  <c r="J388" i="2"/>
  <c r="I385" i="2"/>
  <c r="I388" i="2"/>
  <c r="I384" i="2"/>
  <c r="H388" i="2"/>
  <c r="H384" i="2"/>
  <c r="G385" i="2"/>
  <c r="G388" i="2"/>
  <c r="G384" i="2"/>
  <c r="K383" i="2"/>
  <c r="L383" i="2"/>
  <c r="N383" i="2"/>
  <c r="P383" i="2"/>
  <c r="Q383" i="2"/>
  <c r="S383" i="2"/>
  <c r="U383" i="2"/>
  <c r="V383" i="2"/>
  <c r="W383" i="2"/>
  <c r="X383" i="2"/>
  <c r="Z383" i="2"/>
  <c r="AA383" i="2"/>
  <c r="AB383" i="2"/>
  <c r="AC383" i="2"/>
  <c r="AE383" i="2"/>
  <c r="AF383" i="2"/>
  <c r="AG383" i="2"/>
  <c r="AH383" i="2"/>
  <c r="AJ383" i="2"/>
  <c r="AK383" i="2"/>
  <c r="AL383" i="2"/>
  <c r="AM383" i="2"/>
  <c r="AD390" i="2"/>
  <c r="AD389" i="2" s="1"/>
  <c r="Y390" i="2"/>
  <c r="Y389" i="2" s="1"/>
  <c r="I390" i="2"/>
  <c r="I389" i="2" s="1"/>
  <c r="H390" i="2"/>
  <c r="H389" i="2" s="1"/>
  <c r="G390" i="2"/>
  <c r="G389" i="2" s="1"/>
  <c r="AD395" i="2"/>
  <c r="AD396" i="2"/>
  <c r="AD397" i="2"/>
  <c r="AD398" i="2"/>
  <c r="AD399" i="2"/>
  <c r="AD400" i="2"/>
  <c r="AD401" i="2"/>
  <c r="AD405" i="2"/>
  <c r="AD394" i="2"/>
  <c r="AI395" i="2"/>
  <c r="AI396" i="2"/>
  <c r="AI397" i="2"/>
  <c r="AI398" i="2"/>
  <c r="AI399" i="2"/>
  <c r="AI400" i="2"/>
  <c r="AI401" i="2"/>
  <c r="AI405" i="2"/>
  <c r="AI394" i="2"/>
  <c r="Y394" i="2"/>
  <c r="Y395" i="2"/>
  <c r="Y396" i="2"/>
  <c r="Y397" i="2"/>
  <c r="Y398" i="2"/>
  <c r="Y399" i="2"/>
  <c r="Y400" i="2"/>
  <c r="Y401" i="2"/>
  <c r="Y405" i="2"/>
  <c r="T395" i="2"/>
  <c r="T396" i="2"/>
  <c r="T397" i="2"/>
  <c r="T398" i="2"/>
  <c r="T399" i="2"/>
  <c r="T400" i="2"/>
  <c r="T401" i="2"/>
  <c r="T405" i="2"/>
  <c r="T394" i="2"/>
  <c r="O395" i="2"/>
  <c r="O396" i="2"/>
  <c r="O397" i="2"/>
  <c r="O398" i="2"/>
  <c r="O399" i="2"/>
  <c r="O400" i="2"/>
  <c r="O401" i="2"/>
  <c r="O405" i="2"/>
  <c r="J395" i="2"/>
  <c r="J396" i="2"/>
  <c r="J397" i="2"/>
  <c r="J398" i="2"/>
  <c r="J399" i="2"/>
  <c r="J400" i="2"/>
  <c r="J401" i="2"/>
  <c r="J405" i="2"/>
  <c r="I395" i="2"/>
  <c r="I396" i="2"/>
  <c r="I397" i="2"/>
  <c r="I398" i="2"/>
  <c r="I399" i="2"/>
  <c r="I400" i="2"/>
  <c r="I401" i="2"/>
  <c r="I405" i="2"/>
  <c r="I394" i="2"/>
  <c r="H395" i="2"/>
  <c r="H396" i="2"/>
  <c r="H397" i="2"/>
  <c r="H398" i="2"/>
  <c r="H399" i="2"/>
  <c r="H400" i="2"/>
  <c r="H401" i="2"/>
  <c r="H405" i="2"/>
  <c r="H394" i="2"/>
  <c r="G395" i="2"/>
  <c r="G396" i="2"/>
  <c r="G397" i="2"/>
  <c r="G398" i="2"/>
  <c r="G399" i="2"/>
  <c r="G400" i="2"/>
  <c r="G401" i="2"/>
  <c r="G405" i="2"/>
  <c r="G394" i="2"/>
  <c r="I418" i="2"/>
  <c r="I417" i="2" s="1"/>
  <c r="H418" i="2"/>
  <c r="H417" i="2" s="1"/>
  <c r="G418" i="2"/>
  <c r="G417" i="2" s="1"/>
  <c r="K417" i="2"/>
  <c r="L417" i="2"/>
  <c r="M417" i="2"/>
  <c r="N417" i="2"/>
  <c r="P417" i="2"/>
  <c r="Q417" i="2"/>
  <c r="R417" i="2"/>
  <c r="S417" i="2"/>
  <c r="U417" i="2"/>
  <c r="V417" i="2"/>
  <c r="W417" i="2"/>
  <c r="X417" i="2"/>
  <c r="Z417" i="2"/>
  <c r="AA417" i="2"/>
  <c r="AB417" i="2"/>
  <c r="AC417" i="2"/>
  <c r="AE417" i="2"/>
  <c r="AF417" i="2"/>
  <c r="AG417" i="2"/>
  <c r="AH417" i="2"/>
  <c r="AJ417" i="2"/>
  <c r="AK417" i="2"/>
  <c r="AL417" i="2"/>
  <c r="AM417" i="2"/>
  <c r="G421" i="2"/>
  <c r="G420" i="2"/>
  <c r="G419" i="2" s="1"/>
  <c r="T421" i="2"/>
  <c r="T428" i="2"/>
  <c r="T420" i="2"/>
  <c r="Y421" i="2"/>
  <c r="Y428" i="2"/>
  <c r="Y420" i="2"/>
  <c r="Y419" i="2" s="1"/>
  <c r="AD421" i="2"/>
  <c r="AD428" i="2"/>
  <c r="AD420" i="2"/>
  <c r="AD419" i="2" s="1"/>
  <c r="AI421" i="2"/>
  <c r="AI428" i="2"/>
  <c r="AI420" i="2"/>
  <c r="AI419" i="2" s="1"/>
  <c r="O421" i="2"/>
  <c r="O428" i="2"/>
  <c r="J421" i="2"/>
  <c r="J428" i="2"/>
  <c r="I421" i="2"/>
  <c r="I428" i="2"/>
  <c r="I420" i="2"/>
  <c r="H421" i="2"/>
  <c r="H428" i="2"/>
  <c r="G428" i="2"/>
  <c r="AI440" i="2"/>
  <c r="AI439" i="2" s="1"/>
  <c r="AD440" i="2"/>
  <c r="AD439" i="2" s="1"/>
  <c r="Y440" i="2"/>
  <c r="Y439" i="2" s="1"/>
  <c r="T440" i="2"/>
  <c r="T439" i="2" s="1"/>
  <c r="I440" i="2"/>
  <c r="I439" i="2" s="1"/>
  <c r="H440" i="2"/>
  <c r="H439" i="2" s="1"/>
  <c r="G440" i="2"/>
  <c r="G439" i="2" s="1"/>
  <c r="AI449" i="2"/>
  <c r="AI450" i="2"/>
  <c r="AI451" i="2"/>
  <c r="AI452" i="2"/>
  <c r="AI454" i="2"/>
  <c r="AI455" i="2"/>
  <c r="AI456" i="2"/>
  <c r="AI457" i="2"/>
  <c r="AI458" i="2"/>
  <c r="AI459" i="2"/>
  <c r="AI460" i="2"/>
  <c r="AI461" i="2"/>
  <c r="AI462" i="2"/>
  <c r="AI463" i="2"/>
  <c r="AI464" i="2"/>
  <c r="AI465" i="2"/>
  <c r="AD449" i="2"/>
  <c r="AD450" i="2"/>
  <c r="AD451" i="2"/>
  <c r="AD452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Y449" i="2"/>
  <c r="Y450" i="2"/>
  <c r="Y451" i="2"/>
  <c r="Y452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O449" i="2"/>
  <c r="O450" i="2"/>
  <c r="O451" i="2"/>
  <c r="O452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J449" i="2"/>
  <c r="J450" i="2"/>
  <c r="J451" i="2"/>
  <c r="J452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I449" i="2"/>
  <c r="I450" i="2"/>
  <c r="I451" i="2"/>
  <c r="I452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48" i="2"/>
  <c r="H448" i="2"/>
  <c r="H449" i="2"/>
  <c r="H450" i="2"/>
  <c r="H451" i="2"/>
  <c r="H452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G449" i="2"/>
  <c r="G450" i="2"/>
  <c r="G451" i="2"/>
  <c r="G452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48" i="2"/>
  <c r="L447" i="2"/>
  <c r="M447" i="2"/>
  <c r="N447" i="2"/>
  <c r="P447" i="2"/>
  <c r="Q447" i="2"/>
  <c r="R447" i="2"/>
  <c r="S447" i="2"/>
  <c r="S446" i="2" s="1"/>
  <c r="U447" i="2"/>
  <c r="U446" i="2" s="1"/>
  <c r="V447" i="2"/>
  <c r="V446" i="2" s="1"/>
  <c r="X447" i="2"/>
  <c r="Z447" i="2"/>
  <c r="AA447" i="2"/>
  <c r="AB447" i="2"/>
  <c r="AC447" i="2"/>
  <c r="AE447" i="2"/>
  <c r="AE446" i="2" s="1"/>
  <c r="AF447" i="2"/>
  <c r="AF446" i="2" s="1"/>
  <c r="AG447" i="2"/>
  <c r="AG446" i="2" s="1"/>
  <c r="AH447" i="2"/>
  <c r="AJ447" i="2"/>
  <c r="AK447" i="2"/>
  <c r="AL447" i="2"/>
  <c r="AM447" i="2"/>
  <c r="AI468" i="2"/>
  <c r="AI469" i="2"/>
  <c r="AI467" i="2"/>
  <c r="AD468" i="2"/>
  <c r="AD469" i="2"/>
  <c r="AD467" i="2"/>
  <c r="Y468" i="2"/>
  <c r="Y469" i="2"/>
  <c r="Y467" i="2"/>
  <c r="T468" i="2"/>
  <c r="T469" i="2"/>
  <c r="T467" i="2"/>
  <c r="O468" i="2"/>
  <c r="O469" i="2"/>
  <c r="O467" i="2"/>
  <c r="J468" i="2"/>
  <c r="J469" i="2"/>
  <c r="J467" i="2"/>
  <c r="I468" i="2"/>
  <c r="I469" i="2"/>
  <c r="I467" i="2"/>
  <c r="H468" i="2"/>
  <c r="H469" i="2"/>
  <c r="H467" i="2"/>
  <c r="G468" i="2"/>
  <c r="G469" i="2"/>
  <c r="G467" i="2"/>
  <c r="G474" i="2"/>
  <c r="G472" i="2"/>
  <c r="H472" i="2"/>
  <c r="I472" i="2"/>
  <c r="O474" i="2"/>
  <c r="O472" i="2"/>
  <c r="T474" i="2"/>
  <c r="T472" i="2"/>
  <c r="T471" i="2" s="1"/>
  <c r="Y474" i="2"/>
  <c r="Y472" i="2"/>
  <c r="AD474" i="2"/>
  <c r="AD472" i="2"/>
  <c r="AI474" i="2"/>
  <c r="AI472" i="2"/>
  <c r="F471" i="2"/>
  <c r="K471" i="2"/>
  <c r="K446" i="2" s="1"/>
  <c r="P471" i="2"/>
  <c r="Q471" i="2"/>
  <c r="R471" i="2"/>
  <c r="S471" i="2"/>
  <c r="U471" i="2"/>
  <c r="V471" i="2"/>
  <c r="W471" i="2"/>
  <c r="W446" i="2" s="1"/>
  <c r="X471" i="2"/>
  <c r="Z471" i="2"/>
  <c r="AA471" i="2"/>
  <c r="AB471" i="2"/>
  <c r="AC471" i="2"/>
  <c r="AE471" i="2"/>
  <c r="AF471" i="2"/>
  <c r="AH471" i="2"/>
  <c r="AJ471" i="2"/>
  <c r="AK471" i="2"/>
  <c r="AL471" i="2"/>
  <c r="AM471" i="2"/>
  <c r="AI476" i="2"/>
  <c r="AI475" i="2" s="1"/>
  <c r="AD476" i="2"/>
  <c r="AD475" i="2" s="1"/>
  <c r="Y476" i="2"/>
  <c r="Y475" i="2" s="1"/>
  <c r="T476" i="2"/>
  <c r="T475" i="2" s="1"/>
  <c r="I476" i="2"/>
  <c r="I475" i="2" s="1"/>
  <c r="H476" i="2"/>
  <c r="H475" i="2" s="1"/>
  <c r="AH446" i="2" l="1"/>
  <c r="X446" i="2"/>
  <c r="O361" i="2"/>
  <c r="I419" i="2"/>
  <c r="T419" i="2"/>
  <c r="G238" i="2"/>
  <c r="G209" i="2"/>
  <c r="O209" i="2"/>
  <c r="T209" i="2"/>
  <c r="AI209" i="2"/>
  <c r="AD209" i="2"/>
  <c r="AM446" i="2"/>
  <c r="P43" i="5" s="1"/>
  <c r="AC446" i="2"/>
  <c r="J43" i="5" s="1"/>
  <c r="R446" i="2"/>
  <c r="AL446" i="2"/>
  <c r="AB446" i="2"/>
  <c r="J42" i="5" s="1"/>
  <c r="Q446" i="2"/>
  <c r="F41" i="5" s="1"/>
  <c r="AK446" i="2"/>
  <c r="P41" i="5" s="1"/>
  <c r="AA446" i="2"/>
  <c r="J41" i="5" s="1"/>
  <c r="P446" i="2"/>
  <c r="F40" i="5" s="1"/>
  <c r="AJ446" i="2"/>
  <c r="Z446" i="2"/>
  <c r="G230" i="2"/>
  <c r="J230" i="2"/>
  <c r="H230" i="2"/>
  <c r="O230" i="2"/>
  <c r="I230" i="2"/>
  <c r="T230" i="2"/>
  <c r="Y230" i="2"/>
  <c r="AI230" i="2"/>
  <c r="AI227" i="2" s="1"/>
  <c r="AI226" i="2" s="1"/>
  <c r="AD230" i="2"/>
  <c r="AD227" i="2" s="1"/>
  <c r="AD226" i="2" s="1"/>
  <c r="G42" i="5"/>
  <c r="AD393" i="2"/>
  <c r="T393" i="2"/>
  <c r="G393" i="2"/>
  <c r="H393" i="2"/>
  <c r="Y393" i="2"/>
  <c r="I393" i="2"/>
  <c r="AI393" i="2"/>
  <c r="H210" i="2"/>
  <c r="T275" i="2"/>
  <c r="AI275" i="2"/>
  <c r="AI263" i="2" s="1"/>
  <c r="AD275" i="2"/>
  <c r="AD263" i="2" s="1"/>
  <c r="Y275" i="2"/>
  <c r="E40" i="5"/>
  <c r="P40" i="5"/>
  <c r="J210" i="2"/>
  <c r="G43" i="5"/>
  <c r="M42" i="5"/>
  <c r="M41" i="5"/>
  <c r="M40" i="5"/>
  <c r="G40" i="5"/>
  <c r="M43" i="5"/>
  <c r="F43" i="5"/>
  <c r="P42" i="5"/>
  <c r="F42" i="5"/>
  <c r="E382" i="2"/>
  <c r="J40" i="5"/>
  <c r="G41" i="5"/>
  <c r="J466" i="2"/>
  <c r="Y466" i="2"/>
  <c r="T466" i="2"/>
  <c r="G466" i="2"/>
  <c r="AI466" i="2"/>
  <c r="H466" i="2"/>
  <c r="O466" i="2"/>
  <c r="AD466" i="2"/>
  <c r="I466" i="2"/>
  <c r="AL321" i="2"/>
  <c r="AB321" i="2"/>
  <c r="AF237" i="2"/>
  <c r="M31" i="5" s="1"/>
  <c r="AM321" i="2"/>
  <c r="AC321" i="2"/>
  <c r="S321" i="2"/>
  <c r="AK321" i="2"/>
  <c r="AA321" i="2"/>
  <c r="Q321" i="2"/>
  <c r="AJ321" i="2"/>
  <c r="Z321" i="2"/>
  <c r="P321" i="2"/>
  <c r="R321" i="2"/>
  <c r="AH321" i="2"/>
  <c r="AG321" i="2"/>
  <c r="W321" i="2"/>
  <c r="L321" i="2"/>
  <c r="N321" i="2"/>
  <c r="AF321" i="2"/>
  <c r="V321" i="2"/>
  <c r="K321" i="2"/>
  <c r="X321" i="2"/>
  <c r="AE321" i="2"/>
  <c r="U321" i="2"/>
  <c r="T287" i="2"/>
  <c r="AD287" i="2"/>
  <c r="O287" i="2"/>
  <c r="AI287" i="2"/>
  <c r="Y287" i="2"/>
  <c r="I287" i="2"/>
  <c r="Y471" i="2"/>
  <c r="Z237" i="2"/>
  <c r="J30" i="5" s="1"/>
  <c r="P237" i="2"/>
  <c r="F30" i="5" s="1"/>
  <c r="AG237" i="2"/>
  <c r="M32" i="5" s="1"/>
  <c r="AI380" i="2"/>
  <c r="AD380" i="2"/>
  <c r="AM237" i="2"/>
  <c r="P33" i="5" s="1"/>
  <c r="AH237" i="2"/>
  <c r="M33" i="5" s="1"/>
  <c r="AE237" i="2"/>
  <c r="M30" i="5" s="1"/>
  <c r="U237" i="2"/>
  <c r="G30" i="5" s="1"/>
  <c r="AI471" i="2"/>
  <c r="O471" i="2"/>
  <c r="K237" i="2"/>
  <c r="E30" i="5" s="1"/>
  <c r="AA237" i="2"/>
  <c r="J31" i="5" s="1"/>
  <c r="AL237" i="2"/>
  <c r="P32" i="5" s="1"/>
  <c r="AK237" i="2"/>
  <c r="P31" i="5" s="1"/>
  <c r="I380" i="2"/>
  <c r="T380" i="2"/>
  <c r="AD471" i="2"/>
  <c r="AJ237" i="2"/>
  <c r="P30" i="5" s="1"/>
  <c r="G380" i="2"/>
  <c r="Y380" i="2"/>
  <c r="X237" i="2"/>
  <c r="G33" i="5" s="1"/>
  <c r="H307" i="2"/>
  <c r="V237" i="2"/>
  <c r="G31" i="5" s="1"/>
  <c r="E295" i="2"/>
  <c r="I300" i="2"/>
  <c r="G300" i="2"/>
  <c r="G311" i="2"/>
  <c r="I311" i="2"/>
  <c r="I322" i="2"/>
  <c r="G322" i="2"/>
  <c r="I342" i="2"/>
  <c r="G342" i="2"/>
  <c r="AI383" i="2"/>
  <c r="AD383" i="2"/>
  <c r="Y383" i="2"/>
  <c r="T383" i="2"/>
  <c r="I383" i="2"/>
  <c r="G383" i="2"/>
  <c r="I447" i="2"/>
  <c r="H447" i="2"/>
  <c r="G447" i="2"/>
  <c r="AI206" i="2"/>
  <c r="AI205" i="2"/>
  <c r="AI204" i="2"/>
  <c r="AD206" i="2"/>
  <c r="AD205" i="2"/>
  <c r="AD204" i="2"/>
  <c r="Y206" i="2"/>
  <c r="Y205" i="2"/>
  <c r="Y204" i="2"/>
  <c r="T206" i="2"/>
  <c r="T205" i="2"/>
  <c r="T204" i="2"/>
  <c r="I206" i="2"/>
  <c r="I205" i="2"/>
  <c r="I204" i="2"/>
  <c r="G205" i="2"/>
  <c r="G206" i="2"/>
  <c r="G204" i="2"/>
  <c r="AI198" i="2"/>
  <c r="AI197" i="2" s="1"/>
  <c r="AD198" i="2"/>
  <c r="AD197" i="2" s="1"/>
  <c r="Y198" i="2"/>
  <c r="Y197" i="2" s="1"/>
  <c r="T198" i="2"/>
  <c r="T197" i="2" s="1"/>
  <c r="O198" i="2"/>
  <c r="O197" i="2" s="1"/>
  <c r="I198" i="2"/>
  <c r="I197" i="2" s="1"/>
  <c r="H198" i="2"/>
  <c r="H197" i="2" s="1"/>
  <c r="G198" i="2"/>
  <c r="G197" i="2" s="1"/>
  <c r="AI194" i="2"/>
  <c r="AI195" i="2"/>
  <c r="AI196" i="2"/>
  <c r="AI193" i="2"/>
  <c r="AD194" i="2"/>
  <c r="AD195" i="2"/>
  <c r="AD196" i="2"/>
  <c r="AD193" i="2"/>
  <c r="Y194" i="2"/>
  <c r="Y195" i="2"/>
  <c r="Y196" i="2"/>
  <c r="Y193" i="2"/>
  <c r="T194" i="2"/>
  <c r="T195" i="2"/>
  <c r="T196" i="2"/>
  <c r="T193" i="2"/>
  <c r="O194" i="2"/>
  <c r="O195" i="2"/>
  <c r="O196" i="2"/>
  <c r="O193" i="2"/>
  <c r="I194" i="2"/>
  <c r="I195" i="2"/>
  <c r="I196" i="2"/>
  <c r="I193" i="2"/>
  <c r="H194" i="2"/>
  <c r="H195" i="2"/>
  <c r="H196" i="2"/>
  <c r="H193" i="2"/>
  <c r="G194" i="2"/>
  <c r="G195" i="2"/>
  <c r="G196" i="2"/>
  <c r="G193" i="2"/>
  <c r="AI185" i="2"/>
  <c r="AI184" i="2"/>
  <c r="AD185" i="2"/>
  <c r="AD184" i="2"/>
  <c r="Y185" i="2"/>
  <c r="Y184" i="2"/>
  <c r="T185" i="2"/>
  <c r="T184" i="2"/>
  <c r="O185" i="2"/>
  <c r="O184" i="2"/>
  <c r="J185" i="2"/>
  <c r="I185" i="2"/>
  <c r="I184" i="2"/>
  <c r="H185" i="2"/>
  <c r="G185" i="2"/>
  <c r="G184" i="2"/>
  <c r="AI170" i="2"/>
  <c r="AI171" i="2"/>
  <c r="AI172" i="2"/>
  <c r="AI173" i="2"/>
  <c r="AI174" i="2"/>
  <c r="AI175" i="2"/>
  <c r="AI176" i="2"/>
  <c r="AI177" i="2"/>
  <c r="AI178" i="2"/>
  <c r="AI179" i="2"/>
  <c r="AI180" i="2"/>
  <c r="AD169" i="2"/>
  <c r="AD175" i="2"/>
  <c r="AD170" i="2"/>
  <c r="AD171" i="2"/>
  <c r="AD172" i="2"/>
  <c r="AD173" i="2"/>
  <c r="AD174" i="2"/>
  <c r="AD176" i="2"/>
  <c r="AD177" i="2"/>
  <c r="AD178" i="2"/>
  <c r="AD179" i="2"/>
  <c r="AD180" i="2"/>
  <c r="Y170" i="2"/>
  <c r="Y171" i="2"/>
  <c r="Y172" i="2"/>
  <c r="Y173" i="2"/>
  <c r="Y174" i="2"/>
  <c r="Y175" i="2"/>
  <c r="Y176" i="2"/>
  <c r="Y177" i="2"/>
  <c r="Y178" i="2"/>
  <c r="Y179" i="2"/>
  <c r="Y180" i="2"/>
  <c r="O170" i="2"/>
  <c r="O171" i="2"/>
  <c r="O172" i="2"/>
  <c r="O174" i="2"/>
  <c r="O175" i="2"/>
  <c r="O176" i="2"/>
  <c r="O177" i="2"/>
  <c r="O179" i="2"/>
  <c r="O180" i="2"/>
  <c r="J179" i="2"/>
  <c r="J180" i="2"/>
  <c r="I170" i="2"/>
  <c r="I171" i="2"/>
  <c r="I172" i="2"/>
  <c r="I173" i="2"/>
  <c r="I174" i="2"/>
  <c r="I175" i="2"/>
  <c r="I176" i="2"/>
  <c r="I177" i="2"/>
  <c r="I178" i="2"/>
  <c r="I179" i="2"/>
  <c r="I180" i="2"/>
  <c r="I169" i="2"/>
  <c r="H179" i="2"/>
  <c r="H180" i="2"/>
  <c r="G170" i="2"/>
  <c r="G171" i="2"/>
  <c r="G172" i="2"/>
  <c r="G173" i="2"/>
  <c r="G174" i="2"/>
  <c r="G175" i="2"/>
  <c r="G176" i="2"/>
  <c r="G177" i="2"/>
  <c r="G178" i="2"/>
  <c r="G179" i="2"/>
  <c r="G180" i="2"/>
  <c r="G169" i="2"/>
  <c r="AI154" i="2"/>
  <c r="AI160" i="2"/>
  <c r="AI161" i="2"/>
  <c r="AI163" i="2"/>
  <c r="AI153" i="2"/>
  <c r="AD163" i="2"/>
  <c r="Y163" i="2"/>
  <c r="T163" i="2"/>
  <c r="O154" i="2"/>
  <c r="O160" i="2"/>
  <c r="O161" i="2"/>
  <c r="O163" i="2"/>
  <c r="J160" i="2"/>
  <c r="J161" i="2"/>
  <c r="J163" i="2"/>
  <c r="O153" i="2"/>
  <c r="I163" i="2"/>
  <c r="H160" i="2"/>
  <c r="H161" i="2"/>
  <c r="H163" i="2"/>
  <c r="H153" i="2"/>
  <c r="G163" i="2"/>
  <c r="AD142" i="2"/>
  <c r="AD143" i="2"/>
  <c r="AD144" i="2"/>
  <c r="AD145" i="2"/>
  <c r="AD146" i="2"/>
  <c r="AD147" i="2"/>
  <c r="AD148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35" i="2"/>
  <c r="H137" i="2"/>
  <c r="H138" i="2"/>
  <c r="H139" i="2"/>
  <c r="H140" i="2"/>
  <c r="H144" i="2"/>
  <c r="H145" i="2"/>
  <c r="H146" i="2"/>
  <c r="H147" i="2"/>
  <c r="H148" i="2"/>
  <c r="H149" i="2"/>
  <c r="H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35" i="2"/>
  <c r="K134" i="2"/>
  <c r="L134" i="2"/>
  <c r="N134" i="2"/>
  <c r="P134" i="2"/>
  <c r="Q134" i="2"/>
  <c r="S134" i="2"/>
  <c r="U134" i="2"/>
  <c r="V134" i="2"/>
  <c r="W134" i="2"/>
  <c r="X134" i="2"/>
  <c r="Z134" i="2"/>
  <c r="AA134" i="2"/>
  <c r="AB134" i="2"/>
  <c r="AC134" i="2"/>
  <c r="AE134" i="2"/>
  <c r="AF134" i="2"/>
  <c r="AG134" i="2"/>
  <c r="AH134" i="2"/>
  <c r="AJ134" i="2"/>
  <c r="AK134" i="2"/>
  <c r="AL134" i="2"/>
  <c r="AM134" i="2"/>
  <c r="O132" i="2"/>
  <c r="O133" i="2"/>
  <c r="J132" i="2"/>
  <c r="I133" i="2"/>
  <c r="I132" i="2"/>
  <c r="I131" i="2"/>
  <c r="H132" i="2"/>
  <c r="H131" i="2"/>
  <c r="G133" i="2"/>
  <c r="G132" i="2"/>
  <c r="G131" i="2"/>
  <c r="L130" i="2"/>
  <c r="N130" i="2"/>
  <c r="P130" i="2"/>
  <c r="Q130" i="2"/>
  <c r="S130" i="2"/>
  <c r="U130" i="2"/>
  <c r="V130" i="2"/>
  <c r="W130" i="2"/>
  <c r="X130" i="2"/>
  <c r="Z130" i="2"/>
  <c r="AA130" i="2"/>
  <c r="AB130" i="2"/>
  <c r="AC130" i="2"/>
  <c r="AE130" i="2"/>
  <c r="AF130" i="2"/>
  <c r="AG130" i="2"/>
  <c r="AH130" i="2"/>
  <c r="AJ130" i="2"/>
  <c r="AK130" i="2"/>
  <c r="AL130" i="2"/>
  <c r="AM130" i="2"/>
  <c r="AI119" i="2"/>
  <c r="AI120" i="2"/>
  <c r="AI121" i="2"/>
  <c r="AI122" i="2"/>
  <c r="AI124" i="2"/>
  <c r="AI125" i="2"/>
  <c r="AI126" i="2"/>
  <c r="AI127" i="2"/>
  <c r="AI128" i="2"/>
  <c r="AI129" i="2"/>
  <c r="J119" i="2"/>
  <c r="J120" i="2"/>
  <c r="J121" i="2"/>
  <c r="J124" i="2"/>
  <c r="J125" i="2"/>
  <c r="J126" i="2"/>
  <c r="J127" i="2"/>
  <c r="J128" i="2"/>
  <c r="J129" i="2"/>
  <c r="I119" i="2"/>
  <c r="I120" i="2"/>
  <c r="I121" i="2"/>
  <c r="I122" i="2"/>
  <c r="I124" i="2"/>
  <c r="I125" i="2"/>
  <c r="I126" i="2"/>
  <c r="I127" i="2"/>
  <c r="I128" i="2"/>
  <c r="I129" i="2"/>
  <c r="I117" i="2"/>
  <c r="H119" i="2"/>
  <c r="H120" i="2"/>
  <c r="H121" i="2"/>
  <c r="H124" i="2"/>
  <c r="H125" i="2"/>
  <c r="H126" i="2"/>
  <c r="H127" i="2"/>
  <c r="H128" i="2"/>
  <c r="H129" i="2"/>
  <c r="H117" i="2"/>
  <c r="G119" i="2"/>
  <c r="G120" i="2"/>
  <c r="G121" i="2"/>
  <c r="G122" i="2"/>
  <c r="G124" i="2"/>
  <c r="G125" i="2"/>
  <c r="G126" i="2"/>
  <c r="G127" i="2"/>
  <c r="G128" i="2"/>
  <c r="G129" i="2"/>
  <c r="G117" i="2"/>
  <c r="K116" i="2"/>
  <c r="L116" i="2"/>
  <c r="N116" i="2"/>
  <c r="P116" i="2"/>
  <c r="Q116" i="2"/>
  <c r="S116" i="2"/>
  <c r="U116" i="2"/>
  <c r="V116" i="2"/>
  <c r="W116" i="2"/>
  <c r="X116" i="2"/>
  <c r="Z116" i="2"/>
  <c r="AA116" i="2"/>
  <c r="AB116" i="2"/>
  <c r="AC116" i="2"/>
  <c r="AE116" i="2"/>
  <c r="AF116" i="2"/>
  <c r="AG116" i="2"/>
  <c r="AH116" i="2"/>
  <c r="AJ116" i="2"/>
  <c r="AK116" i="2"/>
  <c r="AL116" i="2"/>
  <c r="AM116" i="2"/>
  <c r="AI106" i="2"/>
  <c r="AI108" i="2"/>
  <c r="AI105" i="2"/>
  <c r="AD106" i="2"/>
  <c r="AD108" i="2"/>
  <c r="AD105" i="2"/>
  <c r="Y106" i="2"/>
  <c r="Y108" i="2"/>
  <c r="Y105" i="2"/>
  <c r="T105" i="2"/>
  <c r="T106" i="2"/>
  <c r="T108" i="2"/>
  <c r="O106" i="2"/>
  <c r="O108" i="2"/>
  <c r="O105" i="2"/>
  <c r="O99" i="2"/>
  <c r="O100" i="2"/>
  <c r="O101" i="2"/>
  <c r="O98" i="2"/>
  <c r="J106" i="2"/>
  <c r="J108" i="2"/>
  <c r="I106" i="2"/>
  <c r="I108" i="2"/>
  <c r="I105" i="2"/>
  <c r="H106" i="2"/>
  <c r="H108" i="2"/>
  <c r="H105" i="2"/>
  <c r="G106" i="2"/>
  <c r="G108" i="2"/>
  <c r="J99" i="2"/>
  <c r="J100" i="2"/>
  <c r="J101" i="2"/>
  <c r="I101" i="2"/>
  <c r="I100" i="2"/>
  <c r="I99" i="2"/>
  <c r="I98" i="2"/>
  <c r="H99" i="2"/>
  <c r="H100" i="2"/>
  <c r="H101" i="2"/>
  <c r="H98" i="2"/>
  <c r="G99" i="2"/>
  <c r="G100" i="2"/>
  <c r="G101" i="2"/>
  <c r="G98" i="2"/>
  <c r="K97" i="2"/>
  <c r="L97" i="2"/>
  <c r="M97" i="2"/>
  <c r="P97" i="2"/>
  <c r="Q97" i="2"/>
  <c r="S97" i="2"/>
  <c r="V97" i="2"/>
  <c r="W97" i="2"/>
  <c r="X97" i="2"/>
  <c r="AA97" i="2"/>
  <c r="AB97" i="2"/>
  <c r="AC97" i="2"/>
  <c r="AF97" i="2"/>
  <c r="AG97" i="2"/>
  <c r="AH97" i="2"/>
  <c r="AK97" i="2"/>
  <c r="AL97" i="2"/>
  <c r="AM97" i="2"/>
  <c r="AI95" i="2"/>
  <c r="AI94" i="2" s="1"/>
  <c r="AD95" i="2"/>
  <c r="AD94" i="2" s="1"/>
  <c r="Y95" i="2"/>
  <c r="Y94" i="2" s="1"/>
  <c r="T95" i="2"/>
  <c r="T94" i="2" s="1"/>
  <c r="O95" i="2"/>
  <c r="O94" i="2" s="1"/>
  <c r="I95" i="2"/>
  <c r="I94" i="2" s="1"/>
  <c r="G95" i="2"/>
  <c r="G94" i="2" s="1"/>
  <c r="AI86" i="2"/>
  <c r="AI83" i="2"/>
  <c r="AI82" i="2" s="1"/>
  <c r="AD86" i="2"/>
  <c r="AD83" i="2"/>
  <c r="T86" i="2"/>
  <c r="T82" i="2" s="1"/>
  <c r="O86" i="2"/>
  <c r="O82" i="2" s="1"/>
  <c r="I86" i="2"/>
  <c r="I82" i="2" s="1"/>
  <c r="H86" i="2"/>
  <c r="H82" i="2" s="1"/>
  <c r="G86" i="2"/>
  <c r="G82" i="2" s="1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8" i="2"/>
  <c r="AI49" i="2"/>
  <c r="AI81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8" i="2"/>
  <c r="AD49" i="2"/>
  <c r="AD81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8" i="2"/>
  <c r="Y4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8" i="2"/>
  <c r="T49" i="2"/>
  <c r="T81" i="2"/>
  <c r="O81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8" i="2"/>
  <c r="O49" i="2"/>
  <c r="J30" i="2"/>
  <c r="J37" i="2"/>
  <c r="J39" i="2"/>
  <c r="J41" i="2"/>
  <c r="J42" i="2"/>
  <c r="J44" i="2"/>
  <c r="J45" i="2"/>
  <c r="J46" i="2"/>
  <c r="J48" i="2"/>
  <c r="J81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8" i="2"/>
  <c r="I49" i="2"/>
  <c r="I81" i="2"/>
  <c r="I29" i="2"/>
  <c r="H30" i="2"/>
  <c r="H37" i="2"/>
  <c r="H39" i="2"/>
  <c r="H41" i="2"/>
  <c r="H42" i="2"/>
  <c r="H44" i="2"/>
  <c r="H45" i="2"/>
  <c r="H46" i="2"/>
  <c r="H48" i="2"/>
  <c r="H81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8" i="2"/>
  <c r="G49" i="2"/>
  <c r="G81" i="2"/>
  <c r="G29" i="2"/>
  <c r="K28" i="2"/>
  <c r="L28" i="2"/>
  <c r="N28" i="2"/>
  <c r="P28" i="2"/>
  <c r="Q28" i="2"/>
  <c r="S28" i="2"/>
  <c r="U28" i="2"/>
  <c r="V28" i="2"/>
  <c r="W28" i="2"/>
  <c r="X28" i="2"/>
  <c r="Z28" i="2"/>
  <c r="AA28" i="2"/>
  <c r="AB28" i="2"/>
  <c r="AC28" i="2"/>
  <c r="AE28" i="2"/>
  <c r="AF28" i="2"/>
  <c r="AG28" i="2"/>
  <c r="AH28" i="2"/>
  <c r="AJ28" i="2"/>
  <c r="AK28" i="2"/>
  <c r="AL28" i="2"/>
  <c r="AM28" i="2"/>
  <c r="AI13" i="2"/>
  <c r="AI14" i="2"/>
  <c r="AI15" i="2"/>
  <c r="AI16" i="2"/>
  <c r="AI17" i="2"/>
  <c r="AD13" i="2"/>
  <c r="AD14" i="2"/>
  <c r="AD15" i="2"/>
  <c r="AD16" i="2"/>
  <c r="AD17" i="2"/>
  <c r="Y13" i="2"/>
  <c r="Y14" i="2"/>
  <c r="Y15" i="2"/>
  <c r="Y16" i="2"/>
  <c r="Y17" i="2"/>
  <c r="Y12" i="2"/>
  <c r="T13" i="2"/>
  <c r="T14" i="2"/>
  <c r="T15" i="2"/>
  <c r="T16" i="2"/>
  <c r="T12" i="2"/>
  <c r="O13" i="2"/>
  <c r="O14" i="2"/>
  <c r="O15" i="2"/>
  <c r="O16" i="2"/>
  <c r="O17" i="2"/>
  <c r="O12" i="2"/>
  <c r="J13" i="2"/>
  <c r="J15" i="2"/>
  <c r="J17" i="2"/>
  <c r="I13" i="2"/>
  <c r="I14" i="2"/>
  <c r="I15" i="2"/>
  <c r="I16" i="2"/>
  <c r="I17" i="2"/>
  <c r="I12" i="2"/>
  <c r="H13" i="2"/>
  <c r="H15" i="2"/>
  <c r="G13" i="2"/>
  <c r="G14" i="2"/>
  <c r="G15" i="2"/>
  <c r="G16" i="2"/>
  <c r="G17" i="2"/>
  <c r="G12" i="2"/>
  <c r="O476" i="2"/>
  <c r="O475" i="2" s="1"/>
  <c r="G476" i="2"/>
  <c r="G475" i="2" s="1"/>
  <c r="AD82" i="2" l="1"/>
  <c r="I11" i="2"/>
  <c r="G11" i="2"/>
  <c r="O11" i="2"/>
  <c r="Y11" i="2"/>
  <c r="H104" i="2"/>
  <c r="T104" i="2"/>
  <c r="AD183" i="2"/>
  <c r="AD203" i="2"/>
  <c r="AI203" i="2"/>
  <c r="AI202" i="2" s="1"/>
  <c r="Y183" i="2"/>
  <c r="I183" i="2"/>
  <c r="I203" i="2"/>
  <c r="O183" i="2"/>
  <c r="AI183" i="2"/>
  <c r="G183" i="2"/>
  <c r="T183" i="2"/>
  <c r="AD202" i="2"/>
  <c r="T203" i="2"/>
  <c r="T202" i="2" s="1"/>
  <c r="G203" i="2"/>
  <c r="G202" i="2" s="1"/>
  <c r="Y203" i="2"/>
  <c r="O158" i="2"/>
  <c r="H158" i="2"/>
  <c r="J158" i="2"/>
  <c r="O104" i="2"/>
  <c r="G104" i="2"/>
  <c r="I104" i="2"/>
  <c r="O152" i="2"/>
  <c r="AI158" i="2"/>
  <c r="AI152" i="2"/>
  <c r="AF10" i="2"/>
  <c r="V10" i="2"/>
  <c r="P10" i="2"/>
  <c r="AH10" i="2"/>
  <c r="X10" i="2"/>
  <c r="L10" i="2"/>
  <c r="AG10" i="2"/>
  <c r="AM10" i="2"/>
  <c r="AC10" i="2"/>
  <c r="S10" i="2"/>
  <c r="AL10" i="2"/>
  <c r="Q10" i="2"/>
  <c r="AK10" i="2"/>
  <c r="AA10" i="2"/>
  <c r="K10" i="2"/>
  <c r="AI104" i="2"/>
  <c r="Y104" i="2"/>
  <c r="AD104" i="2"/>
  <c r="F39" i="5"/>
  <c r="G39" i="5"/>
  <c r="J39" i="5"/>
  <c r="P29" i="5"/>
  <c r="M39" i="5"/>
  <c r="M29" i="5"/>
  <c r="D40" i="5"/>
  <c r="D30" i="5"/>
  <c r="P39" i="5"/>
  <c r="G321" i="2"/>
  <c r="I321" i="2"/>
  <c r="I130" i="2"/>
  <c r="I116" i="2"/>
  <c r="G130" i="2"/>
  <c r="G116" i="2"/>
  <c r="O97" i="2"/>
  <c r="J476" i="2"/>
  <c r="J475" i="2" s="1"/>
  <c r="E163" i="2"/>
  <c r="I134" i="2"/>
  <c r="G134" i="2"/>
  <c r="H97" i="2"/>
  <c r="G97" i="2"/>
  <c r="AD28" i="2"/>
  <c r="I28" i="2"/>
  <c r="G28" i="2"/>
  <c r="E476" i="2"/>
  <c r="E475" i="2" s="1"/>
  <c r="O420" i="2"/>
  <c r="O419" i="2" s="1"/>
  <c r="E401" i="2"/>
  <c r="E400" i="2"/>
  <c r="E399" i="2"/>
  <c r="F258" i="2"/>
  <c r="G10" i="2" l="1"/>
  <c r="E258" i="2"/>
  <c r="O206" i="2"/>
  <c r="J206" i="2"/>
  <c r="F206" i="2"/>
  <c r="E206" i="2" s="1"/>
  <c r="O205" i="2"/>
  <c r="J205" i="2"/>
  <c r="F205" i="2"/>
  <c r="E205" i="2" l="1"/>
  <c r="W10" i="2" l="1"/>
  <c r="AB10" i="2" l="1"/>
  <c r="H17" i="2"/>
  <c r="T17" i="2"/>
  <c r="T11" i="2" s="1"/>
  <c r="R10" i="2"/>
  <c r="O440" i="2" l="1"/>
  <c r="O439" i="2" s="1"/>
  <c r="H381" i="2" l="1"/>
  <c r="H380" i="2" s="1"/>
  <c r="M353" i="2"/>
  <c r="M356" i="2"/>
  <c r="M347" i="2"/>
  <c r="M346" i="2"/>
  <c r="M333" i="2"/>
  <c r="M341" i="2"/>
  <c r="N266" i="2"/>
  <c r="N263" i="2" s="1"/>
  <c r="M266" i="2"/>
  <c r="M263" i="2" s="1"/>
  <c r="N252" i="2"/>
  <c r="M252" i="2"/>
  <c r="I266" i="2" l="1"/>
  <c r="J353" i="2"/>
  <c r="H353" i="2"/>
  <c r="H264" i="2"/>
  <c r="O250" i="2"/>
  <c r="O238" i="2" s="1"/>
  <c r="H250" i="2"/>
  <c r="H474" i="2"/>
  <c r="M471" i="2"/>
  <c r="M446" i="2" s="1"/>
  <c r="H341" i="2"/>
  <c r="J341" i="2"/>
  <c r="N471" i="2"/>
  <c r="N446" i="2" s="1"/>
  <c r="I474" i="2"/>
  <c r="H333" i="2"/>
  <c r="J333" i="2"/>
  <c r="J252" i="2"/>
  <c r="H252" i="2"/>
  <c r="J346" i="2"/>
  <c r="H346" i="2"/>
  <c r="I252" i="2"/>
  <c r="J347" i="2"/>
  <c r="H347" i="2"/>
  <c r="H266" i="2"/>
  <c r="J266" i="2"/>
  <c r="H356" i="2"/>
  <c r="J356" i="2"/>
  <c r="M343" i="2"/>
  <c r="M308" i="2"/>
  <c r="M420" i="2"/>
  <c r="M419" i="2" s="1"/>
  <c r="E42" i="5" l="1"/>
  <c r="D42" i="5" s="1"/>
  <c r="E43" i="5"/>
  <c r="D43" i="5" s="1"/>
  <c r="H420" i="2"/>
  <c r="H419" i="2" s="1"/>
  <c r="H308" i="2"/>
  <c r="J308" i="2"/>
  <c r="M342" i="2"/>
  <c r="H343" i="2"/>
  <c r="H342" i="2" s="1"/>
  <c r="F269" i="2"/>
  <c r="E269" i="2" s="1"/>
  <c r="N256" i="2" l="1"/>
  <c r="I256" i="2" s="1"/>
  <c r="M256" i="2"/>
  <c r="N255" i="2"/>
  <c r="I255" i="2" s="1"/>
  <c r="M255" i="2"/>
  <c r="N254" i="2"/>
  <c r="I254" i="2" s="1"/>
  <c r="M254" i="2"/>
  <c r="N253" i="2"/>
  <c r="N238" i="2" s="1"/>
  <c r="M253" i="2"/>
  <c r="N212" i="2"/>
  <c r="I212" i="2" s="1"/>
  <c r="M212" i="2"/>
  <c r="H212" i="2" s="1"/>
  <c r="N211" i="2"/>
  <c r="N209" i="2" s="1"/>
  <c r="M211" i="2"/>
  <c r="M209" i="2" s="1"/>
  <c r="M204" i="2"/>
  <c r="M143" i="2"/>
  <c r="H143" i="2" s="1"/>
  <c r="M31" i="2"/>
  <c r="M32" i="2"/>
  <c r="E41" i="2"/>
  <c r="H150" i="2"/>
  <c r="M238" i="2" l="1"/>
  <c r="N237" i="2"/>
  <c r="E33" i="5" s="1"/>
  <c r="N202" i="2"/>
  <c r="H204" i="2"/>
  <c r="H203" i="2" s="1"/>
  <c r="M203" i="2"/>
  <c r="M202" i="2" s="1"/>
  <c r="H211" i="2"/>
  <c r="H209" i="2" s="1"/>
  <c r="H31" i="2"/>
  <c r="J31" i="2"/>
  <c r="H253" i="2"/>
  <c r="J253" i="2"/>
  <c r="I253" i="2"/>
  <c r="I238" i="2" s="1"/>
  <c r="H254" i="2"/>
  <c r="J254" i="2"/>
  <c r="J211" i="2"/>
  <c r="J255" i="2"/>
  <c r="H255" i="2"/>
  <c r="I211" i="2"/>
  <c r="I209" i="2" s="1"/>
  <c r="J32" i="2"/>
  <c r="H32" i="2"/>
  <c r="J212" i="2"/>
  <c r="J256" i="2"/>
  <c r="H256" i="2"/>
  <c r="M154" i="2"/>
  <c r="M152" i="2" s="1"/>
  <c r="M133" i="2"/>
  <c r="J209" i="2" l="1"/>
  <c r="H238" i="2"/>
  <c r="H202" i="2"/>
  <c r="I202" i="2"/>
  <c r="M130" i="2"/>
  <c r="H133" i="2"/>
  <c r="H130" i="2" s="1"/>
  <c r="J133" i="2"/>
  <c r="J154" i="2"/>
  <c r="H154" i="2"/>
  <c r="H152" i="2" s="1"/>
  <c r="M136" i="2"/>
  <c r="M49" i="2"/>
  <c r="M43" i="2"/>
  <c r="M36" i="2"/>
  <c r="M38" i="2"/>
  <c r="M95" i="2"/>
  <c r="M94" i="2" s="1"/>
  <c r="M40" i="2"/>
  <c r="H95" i="2" l="1"/>
  <c r="H94" i="2" s="1"/>
  <c r="J40" i="2"/>
  <c r="H40" i="2"/>
  <c r="H38" i="2"/>
  <c r="J38" i="2"/>
  <c r="J36" i="2"/>
  <c r="H36" i="2"/>
  <c r="H43" i="2"/>
  <c r="J43" i="2"/>
  <c r="J49" i="2"/>
  <c r="H49" i="2"/>
  <c r="H136" i="2"/>
  <c r="O381" i="2"/>
  <c r="O380" i="2" s="1"/>
  <c r="N97" i="2" l="1"/>
  <c r="N10" i="2" s="1"/>
  <c r="I97" i="2"/>
  <c r="I10" i="2" s="1"/>
  <c r="F428" i="2"/>
  <c r="F345" i="2"/>
  <c r="E345" i="2" s="1"/>
  <c r="AC263" i="2"/>
  <c r="AC237" i="2" s="1"/>
  <c r="J33" i="5" s="1"/>
  <c r="R237" i="2"/>
  <c r="F32" i="5" s="1"/>
  <c r="Q275" i="2"/>
  <c r="Q263" i="2" s="1"/>
  <c r="Y214" i="2"/>
  <c r="Y213" i="2"/>
  <c r="Y209" i="2" s="1"/>
  <c r="F217" i="2"/>
  <c r="F231" i="2"/>
  <c r="F232" i="2"/>
  <c r="F213" i="2"/>
  <c r="F214" i="2"/>
  <c r="F145" i="2"/>
  <c r="F81" i="2"/>
  <c r="J18" i="5"/>
  <c r="J17" i="5"/>
  <c r="E101" i="2"/>
  <c r="AJ101" i="2"/>
  <c r="AJ100" i="2"/>
  <c r="AJ99" i="2"/>
  <c r="AJ98" i="2"/>
  <c r="E17" i="2"/>
  <c r="F230" i="2" l="1"/>
  <c r="Y202" i="2"/>
  <c r="G275" i="2"/>
  <c r="AE99" i="2"/>
  <c r="AI99" i="2"/>
  <c r="AE100" i="2"/>
  <c r="AI100" i="2"/>
  <c r="S263" i="2"/>
  <c r="S237" i="2" s="1"/>
  <c r="F33" i="5" s="1"/>
  <c r="D33" i="5" s="1"/>
  <c r="I275" i="2"/>
  <c r="I263" i="2" s="1"/>
  <c r="O275" i="2"/>
  <c r="Q237" i="2"/>
  <c r="F31" i="5" s="1"/>
  <c r="AE101" i="2"/>
  <c r="AI101" i="2"/>
  <c r="AE98" i="2"/>
  <c r="AJ97" i="2"/>
  <c r="AJ10" i="2" s="1"/>
  <c r="AI98" i="2"/>
  <c r="W237" i="2"/>
  <c r="G32" i="5" s="1"/>
  <c r="G29" i="5" s="1"/>
  <c r="T263" i="2"/>
  <c r="AB263" i="2"/>
  <c r="AB237" i="2" s="1"/>
  <c r="J32" i="5" s="1"/>
  <c r="J29" i="5" s="1"/>
  <c r="Y263" i="2"/>
  <c r="E469" i="2"/>
  <c r="E428" i="2"/>
  <c r="E232" i="2"/>
  <c r="E231" i="2"/>
  <c r="E217" i="2"/>
  <c r="E214" i="2"/>
  <c r="E213" i="2"/>
  <c r="Y145" i="2"/>
  <c r="Y146" i="2"/>
  <c r="J146" i="2"/>
  <c r="E81" i="2"/>
  <c r="E108" i="2"/>
  <c r="E100" i="2"/>
  <c r="E230" i="2" l="1"/>
  <c r="I237" i="2"/>
  <c r="F29" i="5"/>
  <c r="AI97" i="2"/>
  <c r="Z98" i="2"/>
  <c r="AD98" i="2"/>
  <c r="AE97" i="2"/>
  <c r="AE10" i="2" s="1"/>
  <c r="Z100" i="2"/>
  <c r="AD100" i="2"/>
  <c r="Z101" i="2"/>
  <c r="AD101" i="2"/>
  <c r="Z99" i="2"/>
  <c r="AD99" i="2"/>
  <c r="E145" i="2"/>
  <c r="J145" i="2"/>
  <c r="U101" i="2" l="1"/>
  <c r="Y101" i="2"/>
  <c r="U100" i="2"/>
  <c r="Y100" i="2"/>
  <c r="U99" i="2"/>
  <c r="T99" i="2" s="1"/>
  <c r="Y99" i="2"/>
  <c r="AD97" i="2"/>
  <c r="U98" i="2"/>
  <c r="Z97" i="2"/>
  <c r="Z10" i="2" s="1"/>
  <c r="Y98" i="2"/>
  <c r="AI418" i="2"/>
  <c r="AI417" i="2" s="1"/>
  <c r="AI390" i="2"/>
  <c r="AI389" i="2" s="1"/>
  <c r="AI360" i="2"/>
  <c r="AI359" i="2"/>
  <c r="AI358" i="2"/>
  <c r="AI357" i="2"/>
  <c r="AI356" i="2"/>
  <c r="AI355" i="2"/>
  <c r="AI354" i="2"/>
  <c r="AI353" i="2"/>
  <c r="AI352" i="2"/>
  <c r="AI351" i="2"/>
  <c r="AI350" i="2"/>
  <c r="AI349" i="2"/>
  <c r="AI348" i="2"/>
  <c r="AI347" i="2"/>
  <c r="AI346" i="2"/>
  <c r="AI344" i="2"/>
  <c r="AI343" i="2"/>
  <c r="AI323" i="2"/>
  <c r="AI322" i="2" s="1"/>
  <c r="AI312" i="2"/>
  <c r="AI311" i="2" s="1"/>
  <c r="AI310" i="2"/>
  <c r="AI309" i="2"/>
  <c r="AI308" i="2"/>
  <c r="AI307" i="2"/>
  <c r="AI306" i="2"/>
  <c r="AI305" i="2"/>
  <c r="AI304" i="2"/>
  <c r="AI303" i="2"/>
  <c r="AI302" i="2"/>
  <c r="AI301" i="2"/>
  <c r="AI299" i="2"/>
  <c r="AI298" i="2" s="1"/>
  <c r="AM298" i="2"/>
  <c r="AM297" i="2" s="1"/>
  <c r="AL298" i="2"/>
  <c r="AL297" i="2" s="1"/>
  <c r="AK298" i="2"/>
  <c r="AK297" i="2" s="1"/>
  <c r="AJ298" i="2"/>
  <c r="AJ297" i="2" s="1"/>
  <c r="AM192" i="2"/>
  <c r="AL192" i="2"/>
  <c r="AK192" i="2"/>
  <c r="AJ192" i="2"/>
  <c r="AI192" i="2"/>
  <c r="AL168" i="2"/>
  <c r="AL151" i="2" s="1"/>
  <c r="AJ168" i="2"/>
  <c r="AH161" i="2"/>
  <c r="AH160" i="2"/>
  <c r="AH158" i="2" s="1"/>
  <c r="AF160" i="2"/>
  <c r="AF158" i="2" s="1"/>
  <c r="AH154" i="2"/>
  <c r="AF154" i="2"/>
  <c r="AH153" i="2"/>
  <c r="AI135" i="2"/>
  <c r="AI133" i="2"/>
  <c r="AI132" i="2"/>
  <c r="AI131" i="2"/>
  <c r="AI117" i="2"/>
  <c r="AI116" i="2" s="1"/>
  <c r="AI29" i="2"/>
  <c r="AI28" i="2" s="1"/>
  <c r="AI12" i="2"/>
  <c r="AI11" i="2" s="1"/>
  <c r="AD418" i="2"/>
  <c r="AD417" i="2" s="1"/>
  <c r="AD343" i="2"/>
  <c r="AD342" i="2" s="1"/>
  <c r="AD341" i="2"/>
  <c r="AD340" i="2"/>
  <c r="AD339" i="2"/>
  <c r="AD338" i="2"/>
  <c r="AD337" i="2"/>
  <c r="AD336" i="2"/>
  <c r="AD335" i="2"/>
  <c r="AD334" i="2"/>
  <c r="AD333" i="2"/>
  <c r="AD332" i="2"/>
  <c r="AD331" i="2"/>
  <c r="AD330" i="2"/>
  <c r="AD329" i="2"/>
  <c r="AD328" i="2"/>
  <c r="AD327" i="2"/>
  <c r="AD326" i="2"/>
  <c r="AD325" i="2"/>
  <c r="AD324" i="2"/>
  <c r="AD323" i="2"/>
  <c r="AD312" i="2"/>
  <c r="AD311" i="2" s="1"/>
  <c r="AD310" i="2"/>
  <c r="AD309" i="2"/>
  <c r="AD308" i="2"/>
  <c r="AD307" i="2"/>
  <c r="AD306" i="2"/>
  <c r="AD305" i="2"/>
  <c r="AD304" i="2"/>
  <c r="AD303" i="2"/>
  <c r="AD302" i="2"/>
  <c r="AD301" i="2"/>
  <c r="AD299" i="2"/>
  <c r="AD298" i="2" s="1"/>
  <c r="AH298" i="2"/>
  <c r="AH297" i="2" s="1"/>
  <c r="AG298" i="2"/>
  <c r="AG297" i="2" s="1"/>
  <c r="AF298" i="2"/>
  <c r="AF297" i="2" s="1"/>
  <c r="AE298" i="2"/>
  <c r="AE297" i="2" s="1"/>
  <c r="AH192" i="2"/>
  <c r="AG192" i="2"/>
  <c r="AF192" i="2"/>
  <c r="AE192" i="2"/>
  <c r="AD192" i="2"/>
  <c r="AG168" i="2"/>
  <c r="AG151" i="2" s="1"/>
  <c r="AE168" i="2"/>
  <c r="AD150" i="2"/>
  <c r="AD149" i="2"/>
  <c r="AD141" i="2"/>
  <c r="AD140" i="2"/>
  <c r="AD139" i="2"/>
  <c r="AD138" i="2"/>
  <c r="AD137" i="2"/>
  <c r="AD136" i="2"/>
  <c r="AD135" i="2"/>
  <c r="AD133" i="2"/>
  <c r="AD132" i="2"/>
  <c r="AD131" i="2"/>
  <c r="AD129" i="2"/>
  <c r="AD128" i="2"/>
  <c r="AD127" i="2"/>
  <c r="AD126" i="2"/>
  <c r="AD125" i="2"/>
  <c r="AD124" i="2"/>
  <c r="AD122" i="2"/>
  <c r="AD121" i="2"/>
  <c r="AD120" i="2"/>
  <c r="AD119" i="2"/>
  <c r="AD117" i="2"/>
  <c r="AD12" i="2"/>
  <c r="AD11" i="2" s="1"/>
  <c r="Y418" i="2"/>
  <c r="Y417" i="2" s="1"/>
  <c r="Y343" i="2"/>
  <c r="Y342" i="2" s="1"/>
  <c r="Y341" i="2"/>
  <c r="Y340" i="2"/>
  <c r="Y339" i="2"/>
  <c r="Y338" i="2"/>
  <c r="Y337" i="2"/>
  <c r="Y336" i="2"/>
  <c r="Y335" i="2"/>
  <c r="Y334" i="2"/>
  <c r="Y333" i="2"/>
  <c r="Y332" i="2"/>
  <c r="Y331" i="2"/>
  <c r="Y330" i="2"/>
  <c r="Y329" i="2"/>
  <c r="Y328" i="2"/>
  <c r="Y327" i="2"/>
  <c r="Y326" i="2"/>
  <c r="Y325" i="2"/>
  <c r="Y324" i="2"/>
  <c r="Y323" i="2"/>
  <c r="Y312" i="2"/>
  <c r="Y311" i="2" s="1"/>
  <c r="Y310" i="2"/>
  <c r="Y309" i="2"/>
  <c r="Y308" i="2"/>
  <c r="Y307" i="2"/>
  <c r="Y306" i="2"/>
  <c r="Y305" i="2"/>
  <c r="Y304" i="2"/>
  <c r="Y303" i="2"/>
  <c r="Y302" i="2"/>
  <c r="Y301" i="2"/>
  <c r="Y299" i="2"/>
  <c r="Y298" i="2" s="1"/>
  <c r="AC298" i="2"/>
  <c r="AC297" i="2" s="1"/>
  <c r="AB298" i="2"/>
  <c r="AB297" i="2" s="1"/>
  <c r="AA298" i="2"/>
  <c r="AA297" i="2" s="1"/>
  <c r="Z298" i="2"/>
  <c r="Z297" i="2" s="1"/>
  <c r="AC192" i="2"/>
  <c r="AB192" i="2"/>
  <c r="AA192" i="2"/>
  <c r="Z192" i="2"/>
  <c r="Y192" i="2"/>
  <c r="Z168" i="2"/>
  <c r="Z151" i="2" s="1"/>
  <c r="Y150" i="2"/>
  <c r="Y149" i="2"/>
  <c r="Y148" i="2"/>
  <c r="Y147" i="2"/>
  <c r="Y144" i="2"/>
  <c r="Y143" i="2"/>
  <c r="Y142" i="2"/>
  <c r="Y141" i="2"/>
  <c r="Y140" i="2"/>
  <c r="Y139" i="2"/>
  <c r="Y138" i="2"/>
  <c r="Y137" i="2"/>
  <c r="Y136" i="2"/>
  <c r="Y135" i="2"/>
  <c r="Y133" i="2"/>
  <c r="Y132" i="2"/>
  <c r="Y131" i="2"/>
  <c r="Y129" i="2"/>
  <c r="Y128" i="2"/>
  <c r="Y127" i="2"/>
  <c r="Y126" i="2"/>
  <c r="Y125" i="2"/>
  <c r="Y124" i="2"/>
  <c r="Y122" i="2"/>
  <c r="Y121" i="2"/>
  <c r="Y120" i="2"/>
  <c r="Y119" i="2"/>
  <c r="Y117" i="2"/>
  <c r="Y29" i="2"/>
  <c r="Y28" i="2" s="1"/>
  <c r="AE151" i="2" l="1"/>
  <c r="AE115" i="2" s="1"/>
  <c r="M20" i="5" s="1"/>
  <c r="AJ151" i="2"/>
  <c r="AJ115" i="2" s="1"/>
  <c r="P20" i="5" s="1"/>
  <c r="AG115" i="2"/>
  <c r="AH152" i="2"/>
  <c r="AL115" i="2"/>
  <c r="Z115" i="2"/>
  <c r="P22" i="5"/>
  <c r="J20" i="5"/>
  <c r="AI10" i="2"/>
  <c r="AD10" i="2"/>
  <c r="T100" i="2"/>
  <c r="F100" i="2"/>
  <c r="T101" i="2"/>
  <c r="F101" i="2"/>
  <c r="AJ286" i="2"/>
  <c r="P35" i="5" s="1"/>
  <c r="AL286" i="2"/>
  <c r="P37" i="5" s="1"/>
  <c r="AE286" i="2"/>
  <c r="M35" i="5" s="1"/>
  <c r="AM286" i="2"/>
  <c r="P38" i="5" s="1"/>
  <c r="AC286" i="2"/>
  <c r="J38" i="5" s="1"/>
  <c r="Z286" i="2"/>
  <c r="J35" i="5" s="1"/>
  <c r="AF286" i="2"/>
  <c r="M36" i="5" s="1"/>
  <c r="AA286" i="2"/>
  <c r="J36" i="5" s="1"/>
  <c r="AG286" i="2"/>
  <c r="M37" i="5" s="1"/>
  <c r="AK286" i="2"/>
  <c r="P36" i="5" s="1"/>
  <c r="AB286" i="2"/>
  <c r="J37" i="5" s="1"/>
  <c r="AH286" i="2"/>
  <c r="M38" i="5" s="1"/>
  <c r="Y130" i="2"/>
  <c r="AI130" i="2"/>
  <c r="Y97" i="2"/>
  <c r="Y10" i="2" s="1"/>
  <c r="T98" i="2"/>
  <c r="U97" i="2"/>
  <c r="U10" i="2" s="1"/>
  <c r="AD130" i="2"/>
  <c r="Y116" i="2"/>
  <c r="AI300" i="2"/>
  <c r="AI297" i="2" s="1"/>
  <c r="AD300" i="2"/>
  <c r="AD297" i="2" s="1"/>
  <c r="Y300" i="2"/>
  <c r="Y297" i="2" s="1"/>
  <c r="AD322" i="2"/>
  <c r="AD321" i="2" s="1"/>
  <c r="Y322" i="2"/>
  <c r="Y321" i="2" s="1"/>
  <c r="AI342" i="2"/>
  <c r="AI321" i="2" s="1"/>
  <c r="Y161" i="2"/>
  <c r="AD161" i="2"/>
  <c r="AD160" i="2"/>
  <c r="Y154" i="2"/>
  <c r="AD154" i="2"/>
  <c r="AI134" i="2"/>
  <c r="AD134" i="2"/>
  <c r="Y134" i="2"/>
  <c r="AD116" i="2"/>
  <c r="AI169" i="2"/>
  <c r="J15" i="5"/>
  <c r="M17" i="5"/>
  <c r="AK168" i="2"/>
  <c r="AM168" i="2"/>
  <c r="AF153" i="2"/>
  <c r="AF152" i="2" s="1"/>
  <c r="AB168" i="2"/>
  <c r="P17" i="5"/>
  <c r="P18" i="5"/>
  <c r="M16" i="5"/>
  <c r="M15" i="5"/>
  <c r="P16" i="5"/>
  <c r="J16" i="5"/>
  <c r="M18" i="5"/>
  <c r="P15" i="5"/>
  <c r="Y448" i="2"/>
  <c r="Y447" i="2" s="1"/>
  <c r="Y446" i="2" s="1"/>
  <c r="AD448" i="2"/>
  <c r="AD447" i="2" s="1"/>
  <c r="AD446" i="2" s="1"/>
  <c r="AI239" i="2"/>
  <c r="AI238" i="2" s="1"/>
  <c r="AI448" i="2"/>
  <c r="AD239" i="2"/>
  <c r="AD238" i="2" s="1"/>
  <c r="AM151" i="2" l="1"/>
  <c r="AM115" i="2" s="1"/>
  <c r="P23" i="5" s="1"/>
  <c r="AK151" i="2"/>
  <c r="AK115" i="2" s="1"/>
  <c r="P21" i="5" s="1"/>
  <c r="AB151" i="2"/>
  <c r="AB115" i="2" s="1"/>
  <c r="J22" i="5" s="1"/>
  <c r="AD158" i="2"/>
  <c r="M22" i="5"/>
  <c r="AD237" i="2"/>
  <c r="T97" i="2"/>
  <c r="AI286" i="2"/>
  <c r="J34" i="5"/>
  <c r="M34" i="5"/>
  <c r="P34" i="5"/>
  <c r="Y286" i="2"/>
  <c r="AD286" i="2"/>
  <c r="J14" i="5"/>
  <c r="M14" i="5"/>
  <c r="P14" i="5"/>
  <c r="AI237" i="2"/>
  <c r="AI447" i="2"/>
  <c r="AI446" i="2" s="1"/>
  <c r="Y160" i="2"/>
  <c r="Y158" i="2" s="1"/>
  <c r="AD153" i="2"/>
  <c r="AD152" i="2" s="1"/>
  <c r="AC168" i="2"/>
  <c r="AI168" i="2"/>
  <c r="Y169" i="2"/>
  <c r="AH168" i="2"/>
  <c r="AF168" i="2"/>
  <c r="AF151" i="2" s="1"/>
  <c r="Y239" i="2"/>
  <c r="Y238" i="2" s="1"/>
  <c r="E467" i="2"/>
  <c r="E468" i="2"/>
  <c r="AC151" i="2" l="1"/>
  <c r="AC115" i="2" s="1"/>
  <c r="J23" i="5" s="1"/>
  <c r="AF115" i="2"/>
  <c r="AH151" i="2"/>
  <c r="AH115" i="2" s="1"/>
  <c r="M23" i="5" s="1"/>
  <c r="AI151" i="2"/>
  <c r="AI115" i="2" s="1"/>
  <c r="M21" i="5"/>
  <c r="Y237" i="2"/>
  <c r="E466" i="2"/>
  <c r="P19" i="5"/>
  <c r="Y153" i="2"/>
  <c r="Y152" i="2" s="1"/>
  <c r="AA168" i="2"/>
  <c r="Y168" i="2"/>
  <c r="Y151" i="2" s="1"/>
  <c r="AD168" i="2"/>
  <c r="F259" i="2"/>
  <c r="F363" i="2"/>
  <c r="J363" i="2"/>
  <c r="M324" i="2"/>
  <c r="H324" i="2" s="1"/>
  <c r="M336" i="2"/>
  <c r="M329" i="2"/>
  <c r="E405" i="2"/>
  <c r="M14" i="2"/>
  <c r="F266" i="2"/>
  <c r="E266" i="2" s="1"/>
  <c r="F267" i="2"/>
  <c r="E267" i="2" s="1"/>
  <c r="F268" i="2"/>
  <c r="E268" i="2" s="1"/>
  <c r="AA151" i="2" l="1"/>
  <c r="AA115" i="2" s="1"/>
  <c r="J21" i="5" s="1"/>
  <c r="AD151" i="2"/>
  <c r="AD115" i="2" s="1"/>
  <c r="Y115" i="2"/>
  <c r="J336" i="2"/>
  <c r="H336" i="2"/>
  <c r="J324" i="2"/>
  <c r="H14" i="2"/>
  <c r="J14" i="2"/>
  <c r="J329" i="2"/>
  <c r="H329" i="2"/>
  <c r="E259" i="2"/>
  <c r="E363" i="2"/>
  <c r="M19" i="5" l="1"/>
  <c r="M29" i="2"/>
  <c r="J19" i="5" l="1"/>
  <c r="H29" i="2"/>
  <c r="F106" i="2"/>
  <c r="J105" i="2"/>
  <c r="J104" i="2" s="1"/>
  <c r="F105" i="2"/>
  <c r="F104" i="2" l="1"/>
  <c r="E106" i="2"/>
  <c r="E105" i="2"/>
  <c r="M16" i="2"/>
  <c r="E104" i="2" l="1"/>
  <c r="J16" i="2"/>
  <c r="H16" i="2"/>
  <c r="M334" i="2"/>
  <c r="J334" i="2" l="1"/>
  <c r="H334" i="2"/>
  <c r="H322" i="2" s="1"/>
  <c r="H321" i="2" s="1"/>
  <c r="M322" i="2"/>
  <c r="M321" i="2" s="1"/>
  <c r="J440" i="2"/>
  <c r="J439" i="2" s="1"/>
  <c r="F440" i="2"/>
  <c r="F439" i="2" s="1"/>
  <c r="I471" i="2"/>
  <c r="I446" i="2" s="1"/>
  <c r="F211" i="2"/>
  <c r="M184" i="2"/>
  <c r="M183" i="2" s="1"/>
  <c r="M122" i="2"/>
  <c r="E48" i="2"/>
  <c r="F99" i="2"/>
  <c r="J98" i="2"/>
  <c r="J97" i="2" s="1"/>
  <c r="F98" i="2"/>
  <c r="F421" i="2"/>
  <c r="J420" i="2"/>
  <c r="J419" i="2" s="1"/>
  <c r="M12" i="2"/>
  <c r="M11" i="2" s="1"/>
  <c r="H184" i="2" l="1"/>
  <c r="H183" i="2" s="1"/>
  <c r="E440" i="2"/>
  <c r="E439" i="2" s="1"/>
  <c r="F97" i="2"/>
  <c r="H122" i="2"/>
  <c r="H116" i="2" s="1"/>
  <c r="M116" i="2"/>
  <c r="J122" i="2"/>
  <c r="J12" i="2"/>
  <c r="J11" i="2" s="1"/>
  <c r="H12" i="2"/>
  <c r="H11" i="2" s="1"/>
  <c r="H311" i="2"/>
  <c r="J319" i="2"/>
  <c r="M311" i="2"/>
  <c r="J472" i="2"/>
  <c r="L471" i="2"/>
  <c r="L446" i="2" s="1"/>
  <c r="H471" i="2"/>
  <c r="H446" i="2" s="1"/>
  <c r="E474" i="2"/>
  <c r="J474" i="2"/>
  <c r="E98" i="2"/>
  <c r="E211" i="2"/>
  <c r="E421" i="2"/>
  <c r="E99" i="2"/>
  <c r="E41" i="5" l="1"/>
  <c r="E472" i="2"/>
  <c r="E471" i="2" s="1"/>
  <c r="G471" i="2"/>
  <c r="G446" i="2" s="1"/>
  <c r="J471" i="2"/>
  <c r="E97" i="2"/>
  <c r="K192" i="2"/>
  <c r="L192" i="2"/>
  <c r="M192" i="2"/>
  <c r="N192" i="2"/>
  <c r="O192" i="2"/>
  <c r="P192" i="2"/>
  <c r="Q192" i="2"/>
  <c r="S192" i="2"/>
  <c r="T192" i="2"/>
  <c r="U192" i="2"/>
  <c r="V192" i="2"/>
  <c r="W192" i="2"/>
  <c r="X192" i="2"/>
  <c r="E39" i="5" l="1"/>
  <c r="D41" i="5"/>
  <c r="D39" i="5" s="1"/>
  <c r="G161" i="2"/>
  <c r="G160" i="2"/>
  <c r="M141" i="2"/>
  <c r="F420" i="2"/>
  <c r="F419" i="2" s="1"/>
  <c r="E398" i="2"/>
  <c r="M385" i="2"/>
  <c r="L264" i="2"/>
  <c r="L263" i="2" s="1"/>
  <c r="G158" i="2" l="1"/>
  <c r="H141" i="2"/>
  <c r="G264" i="2"/>
  <c r="L237" i="2"/>
  <c r="E31" i="5" s="1"/>
  <c r="M300" i="2"/>
  <c r="H300" i="2"/>
  <c r="M383" i="2"/>
  <c r="H385" i="2"/>
  <c r="H383" i="2" s="1"/>
  <c r="J385" i="2"/>
  <c r="I161" i="2"/>
  <c r="T161" i="2"/>
  <c r="I160" i="2"/>
  <c r="T160" i="2"/>
  <c r="E420" i="2"/>
  <c r="E419" i="2" s="1"/>
  <c r="F276" i="2"/>
  <c r="E276" i="2" s="1"/>
  <c r="F277" i="2"/>
  <c r="E277" i="2" s="1"/>
  <c r="F278" i="2"/>
  <c r="E278" i="2" s="1"/>
  <c r="F279" i="2"/>
  <c r="E279" i="2" s="1"/>
  <c r="F280" i="2"/>
  <c r="E280" i="2" s="1"/>
  <c r="F281" i="2"/>
  <c r="E281" i="2" s="1"/>
  <c r="F282" i="2"/>
  <c r="E282" i="2" s="1"/>
  <c r="F283" i="2"/>
  <c r="E283" i="2" s="1"/>
  <c r="F284" i="2"/>
  <c r="E284" i="2" s="1"/>
  <c r="F275" i="2"/>
  <c r="F288" i="2"/>
  <c r="M288" i="2"/>
  <c r="F185" i="2"/>
  <c r="E185" i="2" s="1"/>
  <c r="F161" i="2"/>
  <c r="F160" i="2"/>
  <c r="E49" i="2"/>
  <c r="E46" i="2"/>
  <c r="E45" i="2"/>
  <c r="E44" i="2"/>
  <c r="E43" i="2"/>
  <c r="E42" i="2"/>
  <c r="E40" i="2"/>
  <c r="E39" i="2"/>
  <c r="M35" i="2"/>
  <c r="F86" i="2"/>
  <c r="F82" i="2" s="1"/>
  <c r="J86" i="2"/>
  <c r="J82" i="2" s="1"/>
  <c r="I158" i="2" l="1"/>
  <c r="F158" i="2"/>
  <c r="T158" i="2"/>
  <c r="E86" i="2"/>
  <c r="G263" i="2"/>
  <c r="G237" i="2" s="1"/>
  <c r="D31" i="5"/>
  <c r="H288" i="2"/>
  <c r="E288" i="2" s="1"/>
  <c r="E160" i="2"/>
  <c r="E161" i="2"/>
  <c r="H275" i="2"/>
  <c r="H263" i="2" s="1"/>
  <c r="M237" i="2"/>
  <c r="E32" i="5" s="1"/>
  <c r="D32" i="5" s="1"/>
  <c r="H35" i="2"/>
  <c r="J35" i="2"/>
  <c r="J288" i="2"/>
  <c r="E158" i="2" l="1"/>
  <c r="H237" i="2"/>
  <c r="E275" i="2"/>
  <c r="E29" i="5"/>
  <c r="D29" i="5"/>
  <c r="F265" i="2"/>
  <c r="E265" i="2" s="1"/>
  <c r="M34" i="2"/>
  <c r="J34" i="2" l="1"/>
  <c r="H34" i="2"/>
  <c r="F257" i="2"/>
  <c r="F38" i="2"/>
  <c r="F37" i="2"/>
  <c r="J95" i="2"/>
  <c r="J94" i="2" s="1"/>
  <c r="F95" i="2"/>
  <c r="F94" i="2" s="1"/>
  <c r="E16" i="5"/>
  <c r="E15" i="5"/>
  <c r="E257" i="2" l="1"/>
  <c r="E37" i="2"/>
  <c r="E38" i="2"/>
  <c r="E95" i="2"/>
  <c r="E94" i="2" s="1"/>
  <c r="J198" i="2"/>
  <c r="J197" i="2" s="1"/>
  <c r="F198" i="2"/>
  <c r="F197" i="2" s="1"/>
  <c r="F388" i="2"/>
  <c r="F36" i="2"/>
  <c r="E36" i="2" l="1"/>
  <c r="E198" i="2"/>
  <c r="E197" i="2" s="1"/>
  <c r="E388" i="2"/>
  <c r="F397" i="2"/>
  <c r="F396" i="2"/>
  <c r="T418" i="2"/>
  <c r="T417" i="2" s="1"/>
  <c r="O418" i="2"/>
  <c r="O417" i="2" s="1"/>
  <c r="J418" i="2"/>
  <c r="J417" i="2" s="1"/>
  <c r="F418" i="2"/>
  <c r="F417" i="2" s="1"/>
  <c r="E418" i="2" l="1"/>
  <c r="E417" i="2" s="1"/>
  <c r="E397" i="2"/>
  <c r="E396" i="2"/>
  <c r="G154" i="2"/>
  <c r="F154" i="2"/>
  <c r="T154" i="2" l="1"/>
  <c r="I154" i="2"/>
  <c r="E154" i="2" s="1"/>
  <c r="E18" i="5"/>
  <c r="F15" i="5"/>
  <c r="F16" i="5"/>
  <c r="F17" i="5"/>
  <c r="F18" i="5"/>
  <c r="G15" i="5"/>
  <c r="G16" i="5"/>
  <c r="G17" i="5"/>
  <c r="G18" i="5"/>
  <c r="K168" i="2"/>
  <c r="L168" i="2"/>
  <c r="P168" i="2"/>
  <c r="U168" i="2"/>
  <c r="F184" i="2"/>
  <c r="F183" i="2" s="1"/>
  <c r="J196" i="2"/>
  <c r="J195" i="2"/>
  <c r="J194" i="2"/>
  <c r="J193" i="2"/>
  <c r="F196" i="2"/>
  <c r="F195" i="2"/>
  <c r="F194" i="2"/>
  <c r="F193" i="2"/>
  <c r="F294" i="2"/>
  <c r="E294" i="2" s="1"/>
  <c r="F293" i="2"/>
  <c r="E293" i="2" s="1"/>
  <c r="F292" i="2"/>
  <c r="E292" i="2" s="1"/>
  <c r="F291" i="2"/>
  <c r="E291" i="2" s="1"/>
  <c r="F290" i="2"/>
  <c r="E290" i="2" s="1"/>
  <c r="F289" i="2"/>
  <c r="K298" i="2"/>
  <c r="K297" i="2" s="1"/>
  <c r="L298" i="2"/>
  <c r="L297" i="2" s="1"/>
  <c r="M298" i="2"/>
  <c r="M297" i="2" s="1"/>
  <c r="N298" i="2"/>
  <c r="N297" i="2" s="1"/>
  <c r="P298" i="2"/>
  <c r="P297" i="2" s="1"/>
  <c r="Q298" i="2"/>
  <c r="Q297" i="2" s="1"/>
  <c r="R298" i="2"/>
  <c r="R297" i="2" s="1"/>
  <c r="S298" i="2"/>
  <c r="S297" i="2" s="1"/>
  <c r="U298" i="2"/>
  <c r="U297" i="2" s="1"/>
  <c r="V298" i="2"/>
  <c r="V297" i="2" s="1"/>
  <c r="W298" i="2"/>
  <c r="W297" i="2" s="1"/>
  <c r="W286" i="2" s="1"/>
  <c r="X298" i="2"/>
  <c r="X297" i="2" s="1"/>
  <c r="T299" i="2"/>
  <c r="T298" i="2" s="1"/>
  <c r="O299" i="2"/>
  <c r="O298" i="2" s="1"/>
  <c r="J299" i="2"/>
  <c r="J298" i="2" s="1"/>
  <c r="I298" i="2"/>
  <c r="I297" i="2" s="1"/>
  <c r="H298" i="2"/>
  <c r="H297" i="2" s="1"/>
  <c r="G298" i="2"/>
  <c r="G297" i="2" s="1"/>
  <c r="F299" i="2"/>
  <c r="F298" i="2" s="1"/>
  <c r="J362" i="2"/>
  <c r="J361" i="2" s="1"/>
  <c r="F385" i="2"/>
  <c r="T390" i="2"/>
  <c r="T389" i="2" s="1"/>
  <c r="O390" i="2"/>
  <c r="O389" i="2" s="1"/>
  <c r="J390" i="2"/>
  <c r="J389" i="2" s="1"/>
  <c r="F390" i="2"/>
  <c r="F389" i="2" s="1"/>
  <c r="O394" i="2"/>
  <c r="O393" i="2" s="1"/>
  <c r="J394" i="2"/>
  <c r="J393" i="2" s="1"/>
  <c r="F395" i="2"/>
  <c r="F394" i="2"/>
  <c r="L151" i="2" l="1"/>
  <c r="L115" i="2" s="1"/>
  <c r="E21" i="5" s="1"/>
  <c r="K151" i="2"/>
  <c r="K115" i="2" s="1"/>
  <c r="E20" i="5" s="1"/>
  <c r="U151" i="2"/>
  <c r="U115" i="2" s="1"/>
  <c r="G20" i="5" s="1"/>
  <c r="P115" i="2"/>
  <c r="F20" i="5" s="1"/>
  <c r="P151" i="2"/>
  <c r="F393" i="2"/>
  <c r="I286" i="2"/>
  <c r="N286" i="2"/>
  <c r="E38" i="5" s="1"/>
  <c r="R286" i="2"/>
  <c r="F37" i="5" s="1"/>
  <c r="P286" i="2"/>
  <c r="F35" i="5" s="1"/>
  <c r="S286" i="2"/>
  <c r="F38" i="5" s="1"/>
  <c r="Q286" i="2"/>
  <c r="F36" i="5" s="1"/>
  <c r="X286" i="2"/>
  <c r="G38" i="5" s="1"/>
  <c r="V286" i="2"/>
  <c r="G36" i="5" s="1"/>
  <c r="U286" i="2"/>
  <c r="G35" i="5" s="1"/>
  <c r="K286" i="2"/>
  <c r="E35" i="5" s="1"/>
  <c r="D16" i="5"/>
  <c r="D18" i="5"/>
  <c r="F14" i="5"/>
  <c r="D15" i="5"/>
  <c r="G14" i="5"/>
  <c r="F287" i="2"/>
  <c r="I192" i="2"/>
  <c r="F192" i="2"/>
  <c r="J192" i="2"/>
  <c r="G192" i="2"/>
  <c r="H192" i="2"/>
  <c r="E194" i="2"/>
  <c r="E196" i="2"/>
  <c r="E193" i="2"/>
  <c r="E195" i="2"/>
  <c r="E394" i="2"/>
  <c r="E299" i="2"/>
  <c r="E395" i="2"/>
  <c r="E390" i="2"/>
  <c r="E389" i="2" s="1"/>
  <c r="E385" i="2"/>
  <c r="E393" i="2" l="1"/>
  <c r="G37" i="5"/>
  <c r="G34" i="5" s="1"/>
  <c r="F34" i="5"/>
  <c r="D38" i="5"/>
  <c r="D35" i="5"/>
  <c r="M289" i="2"/>
  <c r="L289" i="2"/>
  <c r="F212" i="2"/>
  <c r="F150" i="2"/>
  <c r="J150" i="2"/>
  <c r="M142" i="2"/>
  <c r="F35" i="2"/>
  <c r="F34" i="2"/>
  <c r="F362" i="2"/>
  <c r="F361" i="2" s="1"/>
  <c r="G289" i="2" l="1"/>
  <c r="G287" i="2" s="1"/>
  <c r="G286" i="2" s="1"/>
  <c r="L287" i="2"/>
  <c r="H289" i="2"/>
  <c r="H287" i="2" s="1"/>
  <c r="H286" i="2" s="1"/>
  <c r="M287" i="2"/>
  <c r="H142" i="2"/>
  <c r="H134" i="2" s="1"/>
  <c r="M134" i="2"/>
  <c r="J289" i="2"/>
  <c r="J287" i="2" s="1"/>
  <c r="E83" i="2"/>
  <c r="E82" i="2" s="1"/>
  <c r="E34" i="2"/>
  <c r="E35" i="2"/>
  <c r="E362" i="2"/>
  <c r="E361" i="2" s="1"/>
  <c r="E212" i="2"/>
  <c r="E150" i="2"/>
  <c r="O384" i="2"/>
  <c r="O383" i="2" s="1"/>
  <c r="O204" i="2"/>
  <c r="O203" i="2" s="1"/>
  <c r="O202" i="2" s="1"/>
  <c r="M286" i="2" l="1"/>
  <c r="E37" i="5" s="1"/>
  <c r="D37" i="5" s="1"/>
  <c r="L286" i="2"/>
  <c r="L9" i="2" s="1"/>
  <c r="E289" i="2"/>
  <c r="E287" i="2" s="1"/>
  <c r="I153" i="2"/>
  <c r="I152" i="2" s="1"/>
  <c r="T153" i="2"/>
  <c r="T152" i="2" s="1"/>
  <c r="G153" i="2"/>
  <c r="G152" i="2" s="1"/>
  <c r="X168" i="2"/>
  <c r="V168" i="2"/>
  <c r="E192" i="2"/>
  <c r="E298" i="2"/>
  <c r="V151" i="2" l="1"/>
  <c r="V115" i="2" s="1"/>
  <c r="G21" i="5" s="1"/>
  <c r="X151" i="2"/>
  <c r="X115" i="2" s="1"/>
  <c r="G23" i="5" s="1"/>
  <c r="E36" i="5"/>
  <c r="E34" i="5" s="1"/>
  <c r="Q168" i="2"/>
  <c r="S168" i="2"/>
  <c r="S151" i="2" s="1"/>
  <c r="Q151" i="2" l="1"/>
  <c r="Q115" i="2" s="1"/>
  <c r="F21" i="5" s="1"/>
  <c r="S115" i="2"/>
  <c r="S9" i="2" s="1"/>
  <c r="D36" i="5"/>
  <c r="D34" i="5" s="1"/>
  <c r="F23" i="5"/>
  <c r="J153" i="2"/>
  <c r="J152" i="2" s="1"/>
  <c r="J184" i="2"/>
  <c r="J183" i="2" s="1"/>
  <c r="I168" i="2"/>
  <c r="N168" i="2"/>
  <c r="N151" i="2" s="1"/>
  <c r="T180" i="2"/>
  <c r="T171" i="2"/>
  <c r="T174" i="2"/>
  <c r="T175" i="2"/>
  <c r="T172" i="2"/>
  <c r="T179" i="2"/>
  <c r="T178" i="2"/>
  <c r="T176" i="2"/>
  <c r="T177" i="2"/>
  <c r="T173" i="2"/>
  <c r="T170" i="2"/>
  <c r="R178" i="2"/>
  <c r="O178" i="2" s="1"/>
  <c r="R173" i="2"/>
  <c r="O173" i="2" s="1"/>
  <c r="R169" i="2"/>
  <c r="M171" i="2"/>
  <c r="M174" i="2"/>
  <c r="M175" i="2"/>
  <c r="M172" i="2"/>
  <c r="M178" i="2"/>
  <c r="M176" i="2"/>
  <c r="M177" i="2"/>
  <c r="M173" i="2"/>
  <c r="M170" i="2"/>
  <c r="M169" i="2"/>
  <c r="I151" i="2" l="1"/>
  <c r="I115" i="2" s="1"/>
  <c r="I9" i="2" s="1"/>
  <c r="N115" i="2"/>
  <c r="N9" i="2" s="1"/>
  <c r="E23" i="5"/>
  <c r="R168" i="2"/>
  <c r="D21" i="5"/>
  <c r="D20" i="5"/>
  <c r="H169" i="2"/>
  <c r="H175" i="2"/>
  <c r="J175" i="2"/>
  <c r="H171" i="2"/>
  <c r="J171" i="2"/>
  <c r="H177" i="2"/>
  <c r="J177" i="2"/>
  <c r="J170" i="2"/>
  <c r="H170" i="2"/>
  <c r="H173" i="2"/>
  <c r="J173" i="2"/>
  <c r="J174" i="2"/>
  <c r="H174" i="2"/>
  <c r="H176" i="2"/>
  <c r="J176" i="2"/>
  <c r="J178" i="2"/>
  <c r="H178" i="2"/>
  <c r="H172" i="2"/>
  <c r="J172" i="2"/>
  <c r="E184" i="2"/>
  <c r="E183" i="2" s="1"/>
  <c r="M168" i="2"/>
  <c r="O169" i="2"/>
  <c r="J169" i="2"/>
  <c r="W168" i="2"/>
  <c r="T169" i="2"/>
  <c r="T168" i="2" s="1"/>
  <c r="T151" i="2" s="1"/>
  <c r="W115" i="2" l="1"/>
  <c r="W151" i="2"/>
  <c r="R151" i="2"/>
  <c r="R115" i="2" s="1"/>
  <c r="F22" i="5" s="1"/>
  <c r="M151" i="2"/>
  <c r="M115" i="2" s="1"/>
  <c r="E22" i="5" s="1"/>
  <c r="G22" i="5"/>
  <c r="D23" i="5"/>
  <c r="J168" i="2"/>
  <c r="J151" i="2" s="1"/>
  <c r="O168" i="2"/>
  <c r="O151" i="2" s="1"/>
  <c r="F449" i="2"/>
  <c r="E449" i="2" s="1"/>
  <c r="F450" i="2"/>
  <c r="E450" i="2" s="1"/>
  <c r="F452" i="2"/>
  <c r="E452" i="2" s="1"/>
  <c r="F384" i="2"/>
  <c r="F383" i="2" s="1"/>
  <c r="J384" i="2"/>
  <c r="J383" i="2" s="1"/>
  <c r="F319" i="2"/>
  <c r="E319" i="2" s="1"/>
  <c r="F314" i="2"/>
  <c r="E314" i="2" s="1"/>
  <c r="F252" i="2"/>
  <c r="F253" i="2"/>
  <c r="F254" i="2"/>
  <c r="F255" i="2"/>
  <c r="F256" i="2"/>
  <c r="F249" i="2"/>
  <c r="F250" i="2"/>
  <c r="F251" i="2"/>
  <c r="D22" i="5" l="1"/>
  <c r="D19" i="5" s="1"/>
  <c r="E19" i="5"/>
  <c r="F19" i="5"/>
  <c r="G19" i="5"/>
  <c r="E253" i="2"/>
  <c r="E255" i="2"/>
  <c r="E254" i="2"/>
  <c r="E256" i="2"/>
  <c r="E252" i="2"/>
  <c r="E251" i="2"/>
  <c r="E250" i="2"/>
  <c r="E249" i="2"/>
  <c r="E384" i="2"/>
  <c r="F170" i="2"/>
  <c r="E170" i="2" s="1"/>
  <c r="F173" i="2"/>
  <c r="E173" i="2" s="1"/>
  <c r="F177" i="2"/>
  <c r="E177" i="2" s="1"/>
  <c r="F176" i="2"/>
  <c r="E176" i="2" s="1"/>
  <c r="F178" i="2"/>
  <c r="E178" i="2" s="1"/>
  <c r="F172" i="2"/>
  <c r="E172" i="2" s="1"/>
  <c r="F179" i="2"/>
  <c r="E179" i="2" s="1"/>
  <c r="F175" i="2"/>
  <c r="E175" i="2" s="1"/>
  <c r="F174" i="2"/>
  <c r="E174" i="2" s="1"/>
  <c r="F171" i="2"/>
  <c r="E171" i="2" s="1"/>
  <c r="F180" i="2"/>
  <c r="E180" i="2" s="1"/>
  <c r="F169" i="2"/>
  <c r="E16" i="2"/>
  <c r="H168" i="2" l="1"/>
  <c r="E169" i="2"/>
  <c r="F168" i="2"/>
  <c r="G168" i="2"/>
  <c r="G151" i="2" l="1"/>
  <c r="G115" i="2" s="1"/>
  <c r="G9" i="2" s="1"/>
  <c r="H151" i="2"/>
  <c r="H115" i="2" s="1"/>
  <c r="E168" i="2"/>
  <c r="F15" i="2"/>
  <c r="E15" i="2" l="1"/>
  <c r="F457" i="2"/>
  <c r="E457" i="2" s="1"/>
  <c r="F465" i="2"/>
  <c r="E465" i="2" s="1"/>
  <c r="F464" i="2"/>
  <c r="E464" i="2" s="1"/>
  <c r="F463" i="2"/>
  <c r="E463" i="2" s="1"/>
  <c r="F462" i="2"/>
  <c r="E462" i="2" s="1"/>
  <c r="F461" i="2"/>
  <c r="E461" i="2" s="1"/>
  <c r="F460" i="2"/>
  <c r="E460" i="2" s="1"/>
  <c r="F459" i="2"/>
  <c r="E459" i="2" s="1"/>
  <c r="F458" i="2"/>
  <c r="E458" i="2" s="1"/>
  <c r="F456" i="2"/>
  <c r="E456" i="2" s="1"/>
  <c r="F455" i="2"/>
  <c r="E455" i="2" s="1"/>
  <c r="F454" i="2"/>
  <c r="E454" i="2" s="1"/>
  <c r="F451" i="2"/>
  <c r="E451" i="2" s="1"/>
  <c r="F448" i="2"/>
  <c r="F381" i="2"/>
  <c r="F380" i="2" s="1"/>
  <c r="F379" i="2"/>
  <c r="F378" i="2" s="1"/>
  <c r="F360" i="2"/>
  <c r="E360" i="2" s="1"/>
  <c r="F359" i="2"/>
  <c r="E359" i="2" s="1"/>
  <c r="F358" i="2"/>
  <c r="E358" i="2" s="1"/>
  <c r="F357" i="2"/>
  <c r="E357" i="2" s="1"/>
  <c r="F356" i="2"/>
  <c r="E356" i="2" s="1"/>
  <c r="F355" i="2"/>
  <c r="E355" i="2" s="1"/>
  <c r="F354" i="2"/>
  <c r="E354" i="2" s="1"/>
  <c r="F353" i="2"/>
  <c r="E353" i="2" s="1"/>
  <c r="F352" i="2"/>
  <c r="E352" i="2" s="1"/>
  <c r="F351" i="2"/>
  <c r="E351" i="2" s="1"/>
  <c r="F350" i="2"/>
  <c r="E350" i="2" s="1"/>
  <c r="F349" i="2"/>
  <c r="E349" i="2" s="1"/>
  <c r="F348" i="2"/>
  <c r="E348" i="2" s="1"/>
  <c r="F347" i="2"/>
  <c r="E347" i="2" s="1"/>
  <c r="F344" i="2"/>
  <c r="E344" i="2" s="1"/>
  <c r="F343" i="2"/>
  <c r="F346" i="2"/>
  <c r="E346" i="2" s="1"/>
  <c r="F325" i="2"/>
  <c r="E325" i="2" s="1"/>
  <c r="F341" i="2"/>
  <c r="E341" i="2" s="1"/>
  <c r="F340" i="2"/>
  <c r="E340" i="2" s="1"/>
  <c r="F339" i="2"/>
  <c r="E339" i="2" s="1"/>
  <c r="F338" i="2"/>
  <c r="E338" i="2" s="1"/>
  <c r="F337" i="2"/>
  <c r="E337" i="2" s="1"/>
  <c r="F336" i="2"/>
  <c r="E336" i="2" s="1"/>
  <c r="F335" i="2"/>
  <c r="E335" i="2" s="1"/>
  <c r="F334" i="2"/>
  <c r="E334" i="2" s="1"/>
  <c r="F333" i="2"/>
  <c r="E333" i="2" s="1"/>
  <c r="F332" i="2"/>
  <c r="E332" i="2" s="1"/>
  <c r="F331" i="2"/>
  <c r="E331" i="2" s="1"/>
  <c r="F330" i="2"/>
  <c r="E330" i="2" s="1"/>
  <c r="F329" i="2"/>
  <c r="E329" i="2" s="1"/>
  <c r="F328" i="2"/>
  <c r="E328" i="2" s="1"/>
  <c r="F327" i="2"/>
  <c r="E327" i="2" s="1"/>
  <c r="F326" i="2"/>
  <c r="E326" i="2" s="1"/>
  <c r="F324" i="2"/>
  <c r="E324" i="2" s="1"/>
  <c r="F323" i="2"/>
  <c r="F313" i="2"/>
  <c r="E313" i="2" s="1"/>
  <c r="F312" i="2"/>
  <c r="F304" i="2"/>
  <c r="F303" i="2"/>
  <c r="F307" i="2"/>
  <c r="F301" i="2"/>
  <c r="F305" i="2"/>
  <c r="F310" i="2"/>
  <c r="F309" i="2"/>
  <c r="F308" i="2"/>
  <c r="F306" i="2"/>
  <c r="F302" i="2"/>
  <c r="F264" i="2"/>
  <c r="F263" i="2" s="1"/>
  <c r="F248" i="2"/>
  <c r="F247" i="2"/>
  <c r="F246" i="2"/>
  <c r="F245" i="2"/>
  <c r="F244" i="2"/>
  <c r="F243" i="2"/>
  <c r="F242" i="2"/>
  <c r="F241" i="2"/>
  <c r="F239" i="2"/>
  <c r="F210" i="2"/>
  <c r="F209" i="2" s="1"/>
  <c r="F153" i="2"/>
  <c r="F152" i="2" s="1"/>
  <c r="F151" i="2" s="1"/>
  <c r="F149" i="2"/>
  <c r="F137" i="2"/>
  <c r="F141" i="2"/>
  <c r="F140" i="2"/>
  <c r="F139" i="2"/>
  <c r="F136" i="2"/>
  <c r="F138" i="2"/>
  <c r="F135" i="2"/>
  <c r="F148" i="2"/>
  <c r="F147" i="2"/>
  <c r="F144" i="2"/>
  <c r="F142" i="2"/>
  <c r="F146" i="2"/>
  <c r="F143" i="2"/>
  <c r="F132" i="2"/>
  <c r="F131" i="2"/>
  <c r="F133" i="2"/>
  <c r="F124" i="2"/>
  <c r="F117" i="2"/>
  <c r="F129" i="2"/>
  <c r="F128" i="2"/>
  <c r="F127" i="2"/>
  <c r="F126" i="2"/>
  <c r="F125" i="2"/>
  <c r="F122" i="2"/>
  <c r="F121" i="2"/>
  <c r="F120" i="2"/>
  <c r="F119" i="2"/>
  <c r="F33" i="2"/>
  <c r="F32" i="2"/>
  <c r="F31" i="2"/>
  <c r="F30" i="2"/>
  <c r="F29" i="2"/>
  <c r="F14" i="2"/>
  <c r="F13" i="2"/>
  <c r="F238" i="2" l="1"/>
  <c r="F237" i="2" s="1"/>
  <c r="F311" i="2"/>
  <c r="F447" i="2"/>
  <c r="F446" i="2" s="1"/>
  <c r="F28" i="2"/>
  <c r="F300" i="2"/>
  <c r="F322" i="2"/>
  <c r="F116" i="2"/>
  <c r="F130" i="2"/>
  <c r="F134" i="2"/>
  <c r="E153" i="2"/>
  <c r="F342" i="2"/>
  <c r="E13" i="2"/>
  <c r="E242" i="2"/>
  <c r="E244" i="2"/>
  <c r="E246" i="2"/>
  <c r="E248" i="2"/>
  <c r="E14" i="2"/>
  <c r="E210" i="2"/>
  <c r="E209" i="2" s="1"/>
  <c r="E241" i="2"/>
  <c r="E243" i="2"/>
  <c r="E245" i="2"/>
  <c r="E247" i="2"/>
  <c r="F115" i="2" l="1"/>
  <c r="E152" i="2"/>
  <c r="E151" i="2" s="1"/>
  <c r="F297" i="2"/>
  <c r="F321" i="2"/>
  <c r="F286" i="2" l="1"/>
  <c r="F204" i="2"/>
  <c r="F203" i="2" s="1"/>
  <c r="F202" i="2" s="1"/>
  <c r="E204" i="2" l="1"/>
  <c r="E203" i="2" s="1"/>
  <c r="E202" i="2" s="1"/>
  <c r="J343" i="2"/>
  <c r="J342" i="2" s="1"/>
  <c r="O343" i="2"/>
  <c r="O342" i="2" s="1"/>
  <c r="T343" i="2"/>
  <c r="T342" i="2" s="1"/>
  <c r="E343" i="2" l="1"/>
  <c r="O264" i="2" l="1"/>
  <c r="O263" i="2" s="1"/>
  <c r="J264" i="2"/>
  <c r="J263" i="2" s="1"/>
  <c r="O237" i="2" l="1"/>
  <c r="E264" i="2"/>
  <c r="E263" i="2" s="1"/>
  <c r="J239" i="2" l="1"/>
  <c r="J238" i="2" s="1"/>
  <c r="J237" i="2" l="1"/>
  <c r="T312" i="2"/>
  <c r="T311" i="2" s="1"/>
  <c r="O312" i="2"/>
  <c r="O311" i="2" s="1"/>
  <c r="J312" i="2"/>
  <c r="J311" i="2" s="1"/>
  <c r="E342" i="2" l="1"/>
  <c r="E312" i="2"/>
  <c r="E311" i="2" s="1"/>
  <c r="M33" i="2"/>
  <c r="J33" i="2" l="1"/>
  <c r="H33" i="2"/>
  <c r="H28" i="2" s="1"/>
  <c r="H10" i="2" s="1"/>
  <c r="H9" i="2" s="1"/>
  <c r="M28" i="2"/>
  <c r="M10" i="2" s="1"/>
  <c r="M9" i="2" s="1"/>
  <c r="E17" i="5" l="1"/>
  <c r="E33" i="2"/>
  <c r="D17" i="5" l="1"/>
  <c r="D14" i="5" s="1"/>
  <c r="E14" i="5"/>
  <c r="E383" i="2"/>
  <c r="T448" i="2"/>
  <c r="T447" i="2" s="1"/>
  <c r="T446" i="2" s="1"/>
  <c r="O448" i="2"/>
  <c r="O447" i="2" s="1"/>
  <c r="O446" i="2" s="1"/>
  <c r="J448" i="2"/>
  <c r="J447" i="2" s="1"/>
  <c r="J446" i="2" s="1"/>
  <c r="J381" i="2"/>
  <c r="J380" i="2" s="1"/>
  <c r="O379" i="2"/>
  <c r="O378" i="2" s="1"/>
  <c r="J379" i="2"/>
  <c r="J378" i="2" s="1"/>
  <c r="T325" i="2"/>
  <c r="O325" i="2"/>
  <c r="T341" i="2"/>
  <c r="O341" i="2"/>
  <c r="T340" i="2"/>
  <c r="O340" i="2"/>
  <c r="T339" i="2"/>
  <c r="O339" i="2"/>
  <c r="T338" i="2"/>
  <c r="O338" i="2"/>
  <c r="T337" i="2"/>
  <c r="O337" i="2"/>
  <c r="T336" i="2"/>
  <c r="O336" i="2"/>
  <c r="T335" i="2"/>
  <c r="O335" i="2"/>
  <c r="T334" i="2"/>
  <c r="O334" i="2"/>
  <c r="T333" i="2"/>
  <c r="O333" i="2"/>
  <c r="T332" i="2"/>
  <c r="O332" i="2"/>
  <c r="T331" i="2"/>
  <c r="O331" i="2"/>
  <c r="T330" i="2"/>
  <c r="O330" i="2"/>
  <c r="T329" i="2"/>
  <c r="O329" i="2"/>
  <c r="T328" i="2"/>
  <c r="O328" i="2"/>
  <c r="T327" i="2"/>
  <c r="O327" i="2"/>
  <c r="T326" i="2"/>
  <c r="O326" i="2"/>
  <c r="T324" i="2"/>
  <c r="O324" i="2"/>
  <c r="T323" i="2"/>
  <c r="O323" i="2"/>
  <c r="J323" i="2"/>
  <c r="J322" i="2" s="1"/>
  <c r="J321" i="2" s="1"/>
  <c r="T301" i="2"/>
  <c r="T300" i="2" s="1"/>
  <c r="T297" i="2" s="1"/>
  <c r="O301" i="2"/>
  <c r="O300" i="2" s="1"/>
  <c r="O297" i="2" s="1"/>
  <c r="J301" i="2"/>
  <c r="J300" i="2" s="1"/>
  <c r="J297" i="2" s="1"/>
  <c r="T239" i="2"/>
  <c r="T238" i="2" s="1"/>
  <c r="F12" i="2"/>
  <c r="F11" i="2" s="1"/>
  <c r="J204" i="2"/>
  <c r="J203" i="2" s="1"/>
  <c r="J202" i="2" s="1"/>
  <c r="J149" i="2"/>
  <c r="J137" i="2"/>
  <c r="J141" i="2"/>
  <c r="J140" i="2"/>
  <c r="J139" i="2"/>
  <c r="J136" i="2"/>
  <c r="J138" i="2"/>
  <c r="O135" i="2"/>
  <c r="O134" i="2" s="1"/>
  <c r="J135" i="2"/>
  <c r="J148" i="2"/>
  <c r="J147" i="2"/>
  <c r="J144" i="2"/>
  <c r="J142" i="2"/>
  <c r="J143" i="2"/>
  <c r="T132" i="2"/>
  <c r="T131" i="2"/>
  <c r="O131" i="2"/>
  <c r="O130" i="2" s="1"/>
  <c r="J131" i="2"/>
  <c r="J130" i="2" s="1"/>
  <c r="T133" i="2"/>
  <c r="T124" i="2"/>
  <c r="O124" i="2"/>
  <c r="T117" i="2"/>
  <c r="O117" i="2"/>
  <c r="J117" i="2"/>
  <c r="J116" i="2" s="1"/>
  <c r="T129" i="2"/>
  <c r="O129" i="2"/>
  <c r="T128" i="2"/>
  <c r="O128" i="2"/>
  <c r="T127" i="2"/>
  <c r="O127" i="2"/>
  <c r="T126" i="2"/>
  <c r="O126" i="2"/>
  <c r="T125" i="2"/>
  <c r="O125" i="2"/>
  <c r="T122" i="2"/>
  <c r="O122" i="2"/>
  <c r="T121" i="2"/>
  <c r="O121" i="2"/>
  <c r="T120" i="2"/>
  <c r="O120" i="2"/>
  <c r="T119" i="2"/>
  <c r="O119" i="2"/>
  <c r="T29" i="2"/>
  <c r="O29" i="2"/>
  <c r="O28" i="2" s="1"/>
  <c r="O10" i="2" s="1"/>
  <c r="J29" i="2"/>
  <c r="J28" i="2" s="1"/>
  <c r="J10" i="2" s="1"/>
  <c r="T28" i="2" l="1"/>
  <c r="T10" i="2" s="1"/>
  <c r="T237" i="2"/>
  <c r="J286" i="2"/>
  <c r="E12" i="2"/>
  <c r="E11" i="2" s="1"/>
  <c r="O322" i="2"/>
  <c r="O321" i="2" s="1"/>
  <c r="O286" i="2" s="1"/>
  <c r="O116" i="2"/>
  <c r="O115" i="2" s="1"/>
  <c r="T130" i="2"/>
  <c r="T322" i="2"/>
  <c r="T321" i="2" s="1"/>
  <c r="T286" i="2" s="1"/>
  <c r="T116" i="2"/>
  <c r="T134" i="2"/>
  <c r="J134" i="2"/>
  <c r="J115" i="2" s="1"/>
  <c r="E306" i="2"/>
  <c r="E304" i="2"/>
  <c r="E301" i="2"/>
  <c r="E308" i="2"/>
  <c r="E302" i="2"/>
  <c r="E303" i="2"/>
  <c r="E307" i="2"/>
  <c r="E448" i="2"/>
  <c r="E447" i="2" s="1"/>
  <c r="E446" i="2" s="1"/>
  <c r="E305" i="2"/>
  <c r="E310" i="2"/>
  <c r="E309" i="2"/>
  <c r="E323" i="2"/>
  <c r="E379" i="2"/>
  <c r="E378" i="2" s="1"/>
  <c r="E381" i="2"/>
  <c r="E380" i="2" s="1"/>
  <c r="E135" i="2"/>
  <c r="E136" i="2"/>
  <c r="E239" i="2"/>
  <c r="E124" i="2"/>
  <c r="E120" i="2"/>
  <c r="E122" i="2"/>
  <c r="E129" i="2"/>
  <c r="E141" i="2"/>
  <c r="E149" i="2"/>
  <c r="E139" i="2"/>
  <c r="E30" i="2"/>
  <c r="E126" i="2"/>
  <c r="E133" i="2"/>
  <c r="E143" i="2"/>
  <c r="E142" i="2"/>
  <c r="E32" i="2"/>
  <c r="E128" i="2"/>
  <c r="E29" i="2"/>
  <c r="E31" i="2"/>
  <c r="E144" i="2"/>
  <c r="E148" i="2"/>
  <c r="E147" i="2"/>
  <c r="E146" i="2"/>
  <c r="E140" i="2"/>
  <c r="E117" i="2"/>
  <c r="E125" i="2"/>
  <c r="E137" i="2"/>
  <c r="E121" i="2"/>
  <c r="E119" i="2"/>
  <c r="E127" i="2"/>
  <c r="E132" i="2"/>
  <c r="E138" i="2"/>
  <c r="E131" i="2"/>
  <c r="E238" i="2" l="1"/>
  <c r="E237" i="2" s="1"/>
  <c r="E28" i="2"/>
  <c r="T115" i="2"/>
  <c r="F10" i="2"/>
  <c r="E322" i="2"/>
  <c r="E321" i="2" s="1"/>
  <c r="E134" i="2"/>
  <c r="E300" i="2"/>
  <c r="E116" i="2"/>
  <c r="E130" i="2"/>
  <c r="E115" i="2" l="1"/>
  <c r="E10" i="2"/>
  <c r="E297" i="2"/>
  <c r="E286" i="2" s="1"/>
  <c r="AG9" i="2"/>
  <c r="X9" i="2"/>
  <c r="AE9" i="2"/>
  <c r="AI9" i="2"/>
  <c r="G26" i="5"/>
  <c r="G11" i="5" s="1"/>
  <c r="M25" i="5"/>
  <c r="AJ9" i="2"/>
  <c r="T9" i="2"/>
  <c r="AF9" i="2"/>
  <c r="M26" i="5"/>
  <c r="M11" i="5" s="1"/>
  <c r="Q9" i="2"/>
  <c r="F26" i="5"/>
  <c r="F11" i="5" s="1"/>
  <c r="R9" i="2"/>
  <c r="AD9" i="2"/>
  <c r="O9" i="2"/>
  <c r="W9" i="2"/>
  <c r="G27" i="5"/>
  <c r="G12" i="5" s="1"/>
  <c r="M27" i="5"/>
  <c r="M12" i="5" s="1"/>
  <c r="F28" i="5"/>
  <c r="F13" i="5" s="1"/>
  <c r="Y9" i="2"/>
  <c r="U9" i="2"/>
  <c r="E27" i="5"/>
  <c r="G28" i="5"/>
  <c r="G13" i="5" s="1"/>
  <c r="E28" i="5"/>
  <c r="E25" i="5"/>
  <c r="J9" i="2"/>
  <c r="P9" i="2"/>
  <c r="F25" i="5"/>
  <c r="F27" i="5"/>
  <c r="F12" i="5" s="1"/>
  <c r="P28" i="5"/>
  <c r="P13" i="5" s="1"/>
  <c r="AB9" i="2"/>
  <c r="J27" i="5"/>
  <c r="J12" i="5" s="1"/>
  <c r="E9" i="2" l="1"/>
  <c r="V9" i="2"/>
  <c r="K9" i="2"/>
  <c r="AH9" i="2"/>
  <c r="M28" i="5"/>
  <c r="M13" i="5" s="1"/>
  <c r="AL9" i="2"/>
  <c r="P27" i="5"/>
  <c r="P12" i="5" s="1"/>
  <c r="AK9" i="2"/>
  <c r="P26" i="5"/>
  <c r="P11" i="5" s="1"/>
  <c r="E10" i="5"/>
  <c r="E12" i="5"/>
  <c r="J28" i="5"/>
  <c r="J13" i="5" s="1"/>
  <c r="AC9" i="2"/>
  <c r="Z9" i="2"/>
  <c r="J25" i="5"/>
  <c r="AA9" i="2"/>
  <c r="J26" i="5"/>
  <c r="J11" i="5" s="1"/>
  <c r="M10" i="5"/>
  <c r="F24" i="5"/>
  <c r="E13" i="5"/>
  <c r="G25" i="5"/>
  <c r="F10" i="5"/>
  <c r="F9" i="5" s="1"/>
  <c r="P25" i="5"/>
  <c r="E26" i="5"/>
  <c r="AM9" i="2"/>
  <c r="D13" i="5" l="1"/>
  <c r="D28" i="5"/>
  <c r="M9" i="5"/>
  <c r="M24" i="5"/>
  <c r="G10" i="5"/>
  <c r="G9" i="5" s="1"/>
  <c r="G24" i="5"/>
  <c r="D27" i="5"/>
  <c r="J24" i="5"/>
  <c r="J10" i="5"/>
  <c r="J9" i="5" s="1"/>
  <c r="E11" i="5"/>
  <c r="D11" i="5" s="1"/>
  <c r="D26" i="5"/>
  <c r="D12" i="5"/>
  <c r="D25" i="5"/>
  <c r="P24" i="5"/>
  <c r="P10" i="5"/>
  <c r="P9" i="5" s="1"/>
  <c r="E24" i="5"/>
  <c r="E9" i="5" l="1"/>
  <c r="D24" i="5"/>
  <c r="D10" i="5"/>
  <c r="D9" i="5" s="1"/>
</calcChain>
</file>

<file path=xl/comments1.xml><?xml version="1.0" encoding="utf-8"?>
<comments xmlns="http://schemas.openxmlformats.org/spreadsheetml/2006/main">
  <authors>
    <author>Автор</author>
  </authors>
  <commentList>
    <comment ref="B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ДЭС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1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изменилось название мероприятия</t>
        </r>
      </text>
    </comment>
    <comment ref="B2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изменилось название мероприятия</t>
        </r>
      </text>
    </comment>
    <comment ref="B40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изменено наименование, сл.142</t>
        </r>
      </text>
    </comment>
  </commentList>
</comments>
</file>

<file path=xl/sharedStrings.xml><?xml version="1.0" encoding="utf-8"?>
<sst xmlns="http://schemas.openxmlformats.org/spreadsheetml/2006/main" count="2123" uniqueCount="1026">
  <si>
    <t>Исполнитель</t>
  </si>
  <si>
    <t>Всего</t>
  </si>
  <si>
    <t>№</t>
  </si>
  <si>
    <t>Подпрограмма 3 "Обеспечение населения муниципального района "Заполярный район" чистой водой"</t>
  </si>
  <si>
    <t>Подпрограмма 4 "Энергоэффективность и развитие энергетики муниципального района "Заполярный район"</t>
  </si>
  <si>
    <t>в том числе</t>
  </si>
  <si>
    <t>Наименование 
мероприятия</t>
  </si>
  <si>
    <t>Подпрограмма 1 "Строительство (приобретение) и проведение мероприятий по капитальному и текущему ремонту жилых помещений муниципального района "Заполярный район"</t>
  </si>
  <si>
    <t>МКУ ЗР "Северное"</t>
  </si>
  <si>
    <t>2017 год</t>
  </si>
  <si>
    <t>2018 год</t>
  </si>
  <si>
    <t>2019 год</t>
  </si>
  <si>
    <t>Раздел 2. Содержание мест причаливания речного транспорта в поселениях</t>
  </si>
  <si>
    <t>Раздел 4.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</si>
  <si>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Приобретение и доставка судна на воздушной подушке "Нептун 23"</t>
  </si>
  <si>
    <t>Раздел 1. Энергоснабжение и повышение энергетической эффективности</t>
  </si>
  <si>
    <t>Реконструкция объекта "Межпоселковая ЛЭП 10 кВ: с. Нижняя Пеша - д. Волоковая, Ненецкий автономный округ"</t>
  </si>
  <si>
    <t>Разработка проектной документации на реконструкцию тепловых сетей в п. Хорей-Вер</t>
  </si>
  <si>
    <t>Разработка проектной документации на строительство автоматизированной водогрейной котельной № 1 в п. Хорей-Вер</t>
  </si>
  <si>
    <t>Разработка проектной документации на строительство тепловых сетей в п. Хорей-Вер</t>
  </si>
  <si>
    <t>Разработка проектной документации на строительство автоматизированной водогрейной котельной № 2 в п. Хорей-Вер</t>
  </si>
  <si>
    <t>Раздел 1. Строительство объектов образования</t>
  </si>
  <si>
    <t>МО "ГП "Рабочий поселок Искателей"</t>
  </si>
  <si>
    <t>МО "Городское поселение "Рабочий поселок Искателей"</t>
  </si>
  <si>
    <t>Раздел 4. Проведение работ по сохранению объектов культурного наследия</t>
  </si>
  <si>
    <t>Покраска фасада объекта культурного наследия регионального значения «Благовещенская церковь» в с. Несь</t>
  </si>
  <si>
    <t xml:space="preserve">Раздел 5. Строительство спортивных объектов </t>
  </si>
  <si>
    <t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t>
  </si>
  <si>
    <t>Разработка проектной документации на реконструкцию наружных сетей тепло- и водоснабжения п. Амдерма</t>
  </si>
  <si>
    <t>районный бюджет</t>
  </si>
  <si>
    <t>5.3.3.</t>
  </si>
  <si>
    <t>УЖКХиС Администрации Заполярного района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</si>
  <si>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</si>
  <si>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</si>
  <si>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</si>
  <si>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</si>
  <si>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 xml:space="preserve">Раздел 2. Создание условий для оказания бытовых (банных) услуг населению </t>
  </si>
  <si>
    <t>Раздел 1. Содержание авиаплощадок в поселениях</t>
  </si>
  <si>
    <t>Раздел 2. Создание условий для обеспечения населения чистой водой</t>
  </si>
  <si>
    <t>Замена котла в центральной котельной п. Амдерма</t>
  </si>
  <si>
    <t>Раздел 2. Подготовка объектов коммунальной инфраструктуры к осенне-зимнему периоду</t>
  </si>
  <si>
    <t>МП ЗР "Севержилкомсервис"</t>
  </si>
  <si>
    <t>Строительство объекта "Школа на 100 мест в с. Тельвиска Ненецкого автономного округа"</t>
  </si>
  <si>
    <t>Раздел 1. Строительство (приобретение) жилья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</si>
  <si>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</si>
  <si>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реконструкцию тепловых сетей в п. Харута</t>
  </si>
  <si>
    <t>Капитальный ремонт жилого дома № 29 по ул. Морская в п. Индига МО "Тиманский сельсовет" НАО</t>
  </si>
  <si>
    <t>Капитальный ремонт жилого дома № 4 по ул. Северная в п. Красное МО "Приморско-Куйский сельсовет" НАО</t>
  </si>
  <si>
    <t>Капитальный ремонт жилого дома № 63 в д. Каменка МО "Пустозерский сельсовет" НАО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</si>
  <si>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</si>
  <si>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</si>
  <si>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</si>
  <si>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</si>
  <si>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"Пешский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</si>
  <si>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</si>
  <si>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</si>
  <si>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</si>
  <si>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</si>
  <si>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</si>
  <si>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</si>
  <si>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</si>
  <si>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</si>
  <si>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</si>
  <si>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</si>
  <si>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</si>
  <si>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"Колгуевский сельсовет" НАО</t>
  </si>
  <si>
    <t>МО "Андегский сельсовет" НАО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</si>
  <si>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</si>
  <si>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>Завершение строительства объекта «4-квартирный жилой дом в д. Куя»</t>
  </si>
  <si>
    <t>Завершение строительства объекта «12-квартирный жилой дом в п. Харута НАО»</t>
  </si>
  <si>
    <t>Капитальный ремонт жилого дома № 45 в п. Хонгурей МО "Пустозерский сельсовет" НАО</t>
  </si>
  <si>
    <t>Капитальный ремонт многоквартирного жилого дома № 156 по ул. Новая в п. Индига МО "Тиманский сельсовет" НАО</t>
  </si>
  <si>
    <t>Строительство очистных сооружений производительностью 2500 куб. м в сутки в п. Искателей</t>
  </si>
  <si>
    <t>Завершение строительства объектов «4-х квартирный жилой дом № 1 в п. Индига» и «4-х квартирный жилой дом № 2 в п. Индига»</t>
  </si>
  <si>
    <t>1.1.1</t>
  </si>
  <si>
    <t>1.1.2</t>
  </si>
  <si>
    <t>1.1.3</t>
  </si>
  <si>
    <t>1.1.7</t>
  </si>
  <si>
    <t>1.1.8</t>
  </si>
  <si>
    <t>2.4.1</t>
  </si>
  <si>
    <t>2.4.2</t>
  </si>
  <si>
    <t>2.4.2.1</t>
  </si>
  <si>
    <t>2.4.2.2</t>
  </si>
  <si>
    <t>2.4.2.3</t>
  </si>
  <si>
    <t>Капитальный ремонт здания аэропорта в п. Харута</t>
  </si>
  <si>
    <t>2.5</t>
  </si>
  <si>
    <t>2.5.1</t>
  </si>
  <si>
    <t>2.4.1.1</t>
  </si>
  <si>
    <t>2.4.1.2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</si>
  <si>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</si>
  <si>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</si>
  <si>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</si>
  <si>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</si>
  <si>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</si>
  <si>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</si>
  <si>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</si>
  <si>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</si>
  <si>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</si>
  <si>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</si>
  <si>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</si>
  <si>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</si>
  <si>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</si>
  <si>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</si>
  <si>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Установка ГРПБ (газорегуляторный пункт блочный) в п. Красное</t>
  </si>
  <si>
    <t>4.1.15</t>
  </si>
  <si>
    <t>4.2.1</t>
  </si>
  <si>
    <t>Капитальный ремонт ЛЭП от опоры № 1 до опоры № 36 в д. Волоковая</t>
  </si>
  <si>
    <t>Капитальный ремонт ЛЭП от опоры № 36 до опоры № 72 в д. Волоковая</t>
  </si>
  <si>
    <t>Капитальный ремонт ЛЭП от опоры № 72 до опоры № 106 в д. Волоковая</t>
  </si>
  <si>
    <t>Капитальный ремонт ЛЭП от опоры № 106 до опоры № 138 в д. Волоковая</t>
  </si>
  <si>
    <t>Капитальный ремонт КТП для ЛЭП в д. Волоковая</t>
  </si>
  <si>
    <t>Приобретение бани в д. Белушье</t>
  </si>
  <si>
    <t>Капитальный ремонт общественной бани в п. Выучейский</t>
  </si>
  <si>
    <t>Обследование и корректировка проектной документации для строительства объекта «Школа-сад на 50 мест в п. Харута»</t>
  </si>
  <si>
    <t>Обследование и корректировка проектной документации для строительства объекта «Школа-сад в п. Индига»</t>
  </si>
  <si>
    <t>Строительство объекта "Школа на 300 мест в п. Красное"</t>
  </si>
  <si>
    <t>Ремонтные работы на объекте «Культурно-досуговое учреждение в п. Выучейский»</t>
  </si>
  <si>
    <t>Завершение строительства объекта «12-квартирный  жилой дом МО «Тельвисочный сельсовет» НАО»</t>
  </si>
  <si>
    <t>Администрация поселения НАО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</si>
  <si>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</si>
  <si>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</si>
  <si>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</si>
  <si>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</si>
  <si>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</si>
  <si>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</si>
  <si>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</si>
  <si>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</si>
  <si>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</si>
  <si>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</si>
  <si>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</si>
  <si>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</si>
  <si>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</si>
  <si>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</si>
  <si>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</si>
  <si>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</si>
  <si>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</si>
  <si>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</si>
  <si>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1.1</t>
  </si>
  <si>
    <t>1.2</t>
  </si>
  <si>
    <t>1.2.1</t>
  </si>
  <si>
    <t>1.2.2</t>
  </si>
  <si>
    <t>1.2.3</t>
  </si>
  <si>
    <t>1.2.4</t>
  </si>
  <si>
    <t>1.2.5</t>
  </si>
  <si>
    <t>1.2.6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</si>
  <si>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</si>
  <si>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</si>
  <si>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</si>
  <si>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</si>
  <si>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</si>
  <si>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</si>
  <si>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</si>
  <si>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</si>
  <si>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</si>
  <si>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</si>
  <si>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</si>
  <si>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</si>
  <si>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</si>
  <si>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</si>
  <si>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2.2</t>
  </si>
  <si>
    <t>2.2.1</t>
  </si>
  <si>
    <t>2.2.2</t>
  </si>
  <si>
    <t>2.2.3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</si>
  <si>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</si>
  <si>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</si>
  <si>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</si>
  <si>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</si>
  <si>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</si>
  <si>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</si>
  <si>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</si>
  <si>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</si>
  <si>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</si>
  <si>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</si>
  <si>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</si>
  <si>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</si>
  <si>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</si>
  <si>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</si>
  <si>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</si>
  <si>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</si>
  <si>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3.1.1</t>
  </si>
  <si>
    <t>3.2</t>
  </si>
  <si>
    <t>3.1</t>
  </si>
  <si>
    <t>3.2.2</t>
  </si>
  <si>
    <t>3.2.3</t>
  </si>
  <si>
    <t>4.1</t>
  </si>
  <si>
    <t>4.1.16</t>
  </si>
  <si>
    <t>4.1.17</t>
  </si>
  <si>
    <t>4.1.18</t>
  </si>
  <si>
    <t>4.1.19</t>
  </si>
  <si>
    <t>4.1.20</t>
  </si>
  <si>
    <t>5.1.1</t>
  </si>
  <si>
    <t>5.1</t>
  </si>
  <si>
    <t>4.2</t>
  </si>
  <si>
    <t>5.1.2</t>
  </si>
  <si>
    <t>5.1.3</t>
  </si>
  <si>
    <t>5.1.4</t>
  </si>
  <si>
    <t>5.1.5</t>
  </si>
  <si>
    <t>5.2</t>
  </si>
  <si>
    <t>5.2.1</t>
  </si>
  <si>
    <t>5.2.2</t>
  </si>
  <si>
    <t>5.2.2.1</t>
  </si>
  <si>
    <t>5.2.2.2</t>
  </si>
  <si>
    <t>5.2.2.3</t>
  </si>
  <si>
    <t>5.2.2.4</t>
  </si>
  <si>
    <t>5.2.2.5</t>
  </si>
  <si>
    <t>5.2.2.6</t>
  </si>
  <si>
    <t>5.2.2.7</t>
  </si>
  <si>
    <t>5.2.2.8</t>
  </si>
  <si>
    <t>5.2.2.9</t>
  </si>
  <si>
    <t>5.2.2.10</t>
  </si>
  <si>
    <t>5.2.3</t>
  </si>
  <si>
    <t>5.2.3.1</t>
  </si>
  <si>
    <t>5.2.3.2</t>
  </si>
  <si>
    <t>5.2.3.3</t>
  </si>
  <si>
    <t>5.2.3.4</t>
  </si>
  <si>
    <t>5.3</t>
  </si>
  <si>
    <t>5.3.1</t>
  </si>
  <si>
    <t>5.3.1.1</t>
  </si>
  <si>
    <t>5.3.1.2</t>
  </si>
  <si>
    <t>5.3.1.3</t>
  </si>
  <si>
    <t>5.3.1.4</t>
  </si>
  <si>
    <t>5.3.1.5</t>
  </si>
  <si>
    <t>5.3.1.6</t>
  </si>
  <si>
    <t>5.3.1.7</t>
  </si>
  <si>
    <t>5.3.1.8</t>
  </si>
  <si>
    <t>5.3.1.9</t>
  </si>
  <si>
    <t>5.3.1.10</t>
  </si>
  <si>
    <t>5.3.1.11</t>
  </si>
  <si>
    <t>5.3.1.12</t>
  </si>
  <si>
    <t>5.3.1.13</t>
  </si>
  <si>
    <t>5.3.1.14</t>
  </si>
  <si>
    <t>5.3.1.15</t>
  </si>
  <si>
    <t>5.3.1.16</t>
  </si>
  <si>
    <t>5.3.1.17</t>
  </si>
  <si>
    <t>5.3.1.18</t>
  </si>
  <si>
    <t>5.3.1.19</t>
  </si>
  <si>
    <t>5.3.2</t>
  </si>
  <si>
    <t>5.3.2.1</t>
  </si>
  <si>
    <t>5.3.2.2</t>
  </si>
  <si>
    <t>5.3.2.3</t>
  </si>
  <si>
    <t>5.3.2.4</t>
  </si>
  <si>
    <t>5.3.2.5</t>
  </si>
  <si>
    <t>5.3.2.6</t>
  </si>
  <si>
    <t>5.3.2.7</t>
  </si>
  <si>
    <t>5.3.2.8</t>
  </si>
  <si>
    <t>5.3.2.9</t>
  </si>
  <si>
    <t>5.3.2.10</t>
  </si>
  <si>
    <t>5.3.2.11</t>
  </si>
  <si>
    <t>5.3.2.12</t>
  </si>
  <si>
    <t>5.3.2.13</t>
  </si>
  <si>
    <t>5.3.2.14</t>
  </si>
  <si>
    <t>5.3.2.15</t>
  </si>
  <si>
    <t>5.3.2.16</t>
  </si>
  <si>
    <t>5.3.2.17</t>
  </si>
  <si>
    <t>5.4</t>
  </si>
  <si>
    <t>5.4.1</t>
  </si>
  <si>
    <t>5.5</t>
  </si>
  <si>
    <t>5.6</t>
  </si>
  <si>
    <t>5.6.1</t>
  </si>
  <si>
    <t>5.6.2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</si>
  <si>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</si>
  <si>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5.1.6</t>
  </si>
  <si>
    <t>Строительство объекта "Школа на 150 мест в п. Индига"</t>
  </si>
  <si>
    <t>5.1.7</t>
  </si>
  <si>
    <t>Подраздел 1. Благоустройство территорий поселений</t>
  </si>
  <si>
    <t>Раздел 3. Благоустройство и уличное освещение территорий поселений</t>
  </si>
  <si>
    <t>Подраздел 2. Уличное освещение</t>
  </si>
  <si>
    <t>5.2.1.1</t>
  </si>
  <si>
    <t>Юр.лица и ИП, определяемые в соответствии с законодательством РФ</t>
  </si>
  <si>
    <t>Строительство объекта "Тепловые сети в с. Нижняя Пеша Ненецкого автономного округа"</t>
  </si>
  <si>
    <t>Строительство объекта «Школа на 800 мест в п. Искателей» с разработкой ПСД</t>
  </si>
  <si>
    <t>Заказчик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</si>
  <si>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</si>
  <si>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Приобретение общественной бани в с. Нижняя Пеша МО "Пешский сельсовет" НАО</t>
  </si>
  <si>
    <t>5.7.</t>
  </si>
  <si>
    <t>5.7.1</t>
  </si>
  <si>
    <t>Ремонт пешеходного перехода через протоку в д. Андег</t>
  </si>
  <si>
    <t>5.8.</t>
  </si>
  <si>
    <t>5.8.1</t>
  </si>
  <si>
    <t>Приобретение и установка 2-х стел участникам ВОВ в д. Белушье и д. Волонга</t>
  </si>
  <si>
    <t>Раздел 3. Снос ветхих и аварийных домов, признанных непригодными для проживания</t>
  </si>
  <si>
    <t>1.3.</t>
  </si>
  <si>
    <t>1.3.1</t>
  </si>
  <si>
    <t>Снос дома № 18 по ул. Набережная с. Шойна</t>
  </si>
  <si>
    <t>Раздел 7. Приобретение, установка, содержание и благоустройство мемориальных сооружений и объектов, увековечивающих память погибших при защите Отечества</t>
  </si>
  <si>
    <t>1.2.7</t>
  </si>
  <si>
    <t>Ремонт 12-квартирного жилого дома № 14 по ул. Механизаторов в с. Ома</t>
  </si>
  <si>
    <t>1.2.8</t>
  </si>
  <si>
    <t xml:space="preserve">Ремонт 12-квартирного жилого дома № 87а в с. Великовисочное </t>
  </si>
  <si>
    <t>2.3.15</t>
  </si>
  <si>
    <t>Нераспределенный резерв</t>
  </si>
  <si>
    <t>2.6.</t>
  </si>
  <si>
    <t>Раздел 6. Разработка проектов организации дорожного движения на автомобильных дорогах общего пользования местного значения</t>
  </si>
  <si>
    <t>2.6.1</t>
  </si>
  <si>
    <t>2.6.2</t>
  </si>
  <si>
    <t>2.6.3</t>
  </si>
  <si>
    <t>2.6.4</t>
  </si>
  <si>
    <t xml:space="preserve">Отбор проб и исследования воды водных объектов: 
п. Каратайка, с. Несь, п. Бугрино, с. Коткино, д. Пылемец, д. Снопа, п. Выучейский, п. Индига, с. Нижняя Пеша, д. Верхняя Пеша, п. Усть-Кара, 
с. Ома, д. Щелино, д. Волоковая, д. Кия, д. Макарово, д. Верхняя Мгла, д. Белушье, д. Вижас, д. Волонга
</t>
  </si>
  <si>
    <t>Монтаж и обвязка станции очистки воды в с. Нижняя Пеша</t>
  </si>
  <si>
    <t>5.6.3</t>
  </si>
  <si>
    <t>Ремонтные работы на объекте "Культурно-досуговое учреждение в п Хорей-Вер"</t>
  </si>
  <si>
    <t>Изготовление межевых планов на земельные участки под места захоронения в МО "Пешский сельсовет" НАО</t>
  </si>
  <si>
    <t>5.8.2</t>
  </si>
  <si>
    <t>Изготовление межевых планов на земельные участки под питьевые колодцы в МО "Пешский сельсовет" НАО</t>
  </si>
  <si>
    <t>6.2.</t>
  </si>
  <si>
    <t>6.2.1</t>
  </si>
  <si>
    <t>5.3.3.1</t>
  </si>
  <si>
    <t>2.4.1.3</t>
  </si>
  <si>
    <t>Приобретение и доставка двигателя для СВП "Нептун-23"</t>
  </si>
  <si>
    <t>5.9.</t>
  </si>
  <si>
    <t>5.8.3</t>
  </si>
  <si>
    <t>Изготовление межевого плана на земельный участок под размещение кладбища в д. Чижа МО "Канинский сельсовет" НАО</t>
  </si>
  <si>
    <t>5.8.4</t>
  </si>
  <si>
    <t>Изготовление межевых планов на 9 земельных участков под объекты жилищно-коммунального хозяйства, находящихся на территории МО "Коткинский сельсовет" НАО</t>
  </si>
  <si>
    <t>1.2.9</t>
  </si>
  <si>
    <t>Ремонт двух печей в квартире № 7 в жилом доме 31 по ул. Советская в с. Нижняя Пеша МО "Пешский сельсовет" НАО</t>
  </si>
  <si>
    <t>4.1.21</t>
  </si>
  <si>
    <t>Ремонтные работы на объекте "Культурно-досуговое учреждение в д. Вижас"</t>
  </si>
  <si>
    <t>2.7.</t>
  </si>
  <si>
    <t>Раздел 7. Строительство улично-дорожной сети</t>
  </si>
  <si>
    <t>2.7.1</t>
  </si>
  <si>
    <t>Строительство улично-дорожной сети микрорайона Факел поселка Искателей</t>
  </si>
  <si>
    <t>1.4.</t>
  </si>
  <si>
    <t>1.4.1</t>
  </si>
  <si>
    <t>Обследование жилых домов в п. Амдерма, расположенных по адресам: ул. Дубровина, д. 11; ул. Ленина, д. 3; ул. Центральная, д. 2; ул. Центральная, д. 3, с целью признания их аварийными и подлежащими сносу или реконструкции</t>
  </si>
  <si>
    <t>6.3.</t>
  </si>
  <si>
    <t>Раздел 3. Приобретение коммунальной (специализированной) техники</t>
  </si>
  <si>
    <t>6.3.1</t>
  </si>
  <si>
    <t>Приобретение и доставка трактора лесохозяйственного с самосвальным кузовом ОТЗ-392</t>
  </si>
  <si>
    <t>1.2.10</t>
  </si>
  <si>
    <t>1.2.11</t>
  </si>
  <si>
    <t>Ремонт кровли жилого дома № 19 в д. Волоковая МО "Пешский сельсовет" НАО</t>
  </si>
  <si>
    <t>Ремонт фундамента жилого дома № 6 по ул. Новая в с. Нижняя Пеша МО "Пешский сельсовет" НАО</t>
  </si>
  <si>
    <t>Замена фонарей уличного освещения в п. Харута МО "Хоседа-Хардский сельсовет" НАО</t>
  </si>
  <si>
    <t>5.1.8</t>
  </si>
  <si>
    <t>Снос дома № 21 по ул. Центральная в с. Тельвиска МО «Тельвисочный сельсовет» НАО</t>
  </si>
  <si>
    <t>1.3.2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</si>
  <si>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</si>
  <si>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</si>
  <si>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</si>
  <si>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</si>
  <si>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</si>
  <si>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</si>
  <si>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</si>
  <si>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</si>
  <si>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Текущий ремонт в жилом доме № 28 по ул. Почтовая в с. Ома МО «Омский сельсовет» НАО</t>
  </si>
  <si>
    <t>Текущий ремонт жилого дома № 12 по ул. Ягодная в с. Несь МО «Канинский сельсовет» НАО</t>
  </si>
  <si>
    <t>Ремонт жилого дома № 37 по ул. Центральная в п. Каратайка МО «Юшарский сельсовет» НАО</t>
  </si>
  <si>
    <t>Ремонт электропроводки в 4-квартирном жилом доме № 30 по ул. Советская в с. Несь, МО «Канинский сельсовет» НАО</t>
  </si>
  <si>
    <t>Текущий ремонт жилого дома № 31 по ул. Советская в с. Нижняя Пеша (ремонт электропроводки в кв. № 2), МО «Пешский сельсовет» НАО</t>
  </si>
  <si>
    <t>Текущий ремонт жилого дома № 30 по ул. Новая в с. Нижняя Пеша (ремонт электропроводки в кв. № 2), МО «Пешский сельсовет» НАО</t>
  </si>
  <si>
    <t>Текущий ремонт жилого дома № 16А по ул. Калинина в с. Нижняя Пеша (ремонт электропроводки в кв. № 1), МО «Пешский сельсовет» НАО</t>
  </si>
  <si>
    <t>Текущий ремонт в жилом доме № 19 в д. Волоковая (ремонт электропроводки), МО «Пешский сельсовет» НАО</t>
  </si>
  <si>
    <t>Текущий ремонт участка дороги «п. Нельмин-Нос – Вертолётная площадка – Площадка размещения отходов в п. Нельмин-Нос» протяженностью 386 м.</t>
  </si>
  <si>
    <t>Приобретение и доставка мобильного здания контейнерного типа с санями-волокушами в д. Чижа МО «Канинский сельсовет» НАО (помещения ожидания воздушных судов)</t>
  </si>
  <si>
    <t>2.5.2</t>
  </si>
  <si>
    <t>2.5.3</t>
  </si>
  <si>
    <t>Обустройство осушительной канавы на взлетно-посадочной полосе в д. Чижа МО «Канинский сельсовет» НАО</t>
  </si>
  <si>
    <t>5</t>
  </si>
  <si>
    <t>Изготовление межевых планов на 4 земельных участка, расположенных на территории МО «Шоинский сельсовет» НАО»</t>
  </si>
  <si>
    <t>Обследование незавершенного строительством объекта «Школа-сад на 80 мест в п. Бугрино МО «Колгуевский сельсовет» НАО</t>
  </si>
  <si>
    <t>Благоустройство дворовой территории по ул. Монтажников, дома 4; 2; 2А; 2Б; 4А; 4Б; 4В; 6В; 6Б; 6А; 6</t>
  </si>
  <si>
    <t>Строительный контроль на строящемся объекте «Спортивное сооружение с универсальным игровым залом в п. Амдерма НАО»</t>
  </si>
  <si>
    <t>Строительство объекта "Корпус школы в с. Нижняя Пеша"</t>
  </si>
  <si>
    <t>5.8.5</t>
  </si>
  <si>
    <t>5.5.1</t>
  </si>
  <si>
    <t>5.5.2</t>
  </si>
  <si>
    <t>Раздел 9. Разработка программ комплексного развития поселений</t>
  </si>
  <si>
    <t>4.2.2</t>
  </si>
  <si>
    <t>5.9.1</t>
  </si>
  <si>
    <t>5.10.</t>
  </si>
  <si>
    <t>Раздел 10. Иные мероприятия</t>
  </si>
  <si>
    <t xml:space="preserve">Вывоз песка от придомовых территорий по ул. Набережная, д. № 1, д. № 4, ул. Восточная, д. № 2, ул. Заполярная, д. № 4 в п. Шойна МО "Шоинский сельсовет" НАО </t>
  </si>
  <si>
    <t>1.5.</t>
  </si>
  <si>
    <t>1.5.1</t>
  </si>
  <si>
    <t>1.5.2</t>
  </si>
  <si>
    <t>Ремонт общежития по ул. Школьная, д. 1 в д. Андег МО "Андегский сельсовет" НАО</t>
  </si>
  <si>
    <t>УЖКХиС Администрации Заполярного района, Администрация Заполярного района</t>
  </si>
  <si>
    <t>3.2.4</t>
  </si>
  <si>
    <t>Проведение ремонтно-восстановительных работ на станции очистки воды (БВПУ) в д. Лабожское</t>
  </si>
  <si>
    <t>6.3.2</t>
  </si>
  <si>
    <t>6.2.2</t>
  </si>
  <si>
    <t>5.11.</t>
  </si>
  <si>
    <t>5.11.1</t>
  </si>
  <si>
    <t>Обследование объекта "Ферма на 50 голов в с. Ома"</t>
  </si>
  <si>
    <t>Приобретение и доставка мобильного здания контейнерного типа в с. Шойна МО Шоинский сельсовет» НАО (помещения ожидания воздушных судов)</t>
  </si>
  <si>
    <t>1.6.</t>
  </si>
  <si>
    <t>Установка общедомовых приборов учета электроэнергии в многоквартирных жилых домах в с. Шойна по адресу: ул. Набережная, д. 6 и д. 10</t>
  </si>
  <si>
    <t>1.6.1.</t>
  </si>
  <si>
    <t>Ремонт выгребной ямы в жилом доме 87 в с. Великовисочное МО «Великовисочный сельсовет» НАО</t>
  </si>
  <si>
    <t>Приобретение и доставка двух мобильных зданий контейнерного типа в п. Усть-Кара МО «Карский сельсовет» НАО (помещения ожидания воздушных судов)</t>
  </si>
  <si>
    <t>5.8.6</t>
  </si>
  <si>
    <t xml:space="preserve">Проведение кадастровых работ по формированию земельных участков </t>
  </si>
  <si>
    <t>Раздел 8. Проведение кадастровых работ, оформление правоустанавливающих документов на земельные участки под объектами инфраструктуры</t>
  </si>
  <si>
    <t>Ремонт моста через протоку озера «Захребетное» в п. Красное МО «Приморско-Куйский сельсовет» НАО</t>
  </si>
  <si>
    <t>5.3.3.2</t>
  </si>
  <si>
    <t>Раздел 5. Разработка проектной документации,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</si>
  <si>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Приобретение, доставка и установка двух мобильных зданий контейнерного типа в с. Нижняя Пеша (помещения ожидания воздушных судов)</t>
  </si>
  <si>
    <t>Поставка котла отопительного в котельную "Орбита" в с. Тельвиска</t>
  </si>
  <si>
    <t>Приобретение жидкотопливных котлов (58 шт.) для обеспечения теплоснабжением социальных объектов в д. Каменка, п. Хонгурей, п. Шойна, п. Индига, п. Выучейский, п. Верхняя Пёша.</t>
  </si>
  <si>
    <t>1.1.9</t>
  </si>
  <si>
    <t>2020 год</t>
  </si>
  <si>
    <t>2021 год</t>
  </si>
  <si>
    <t>2022 год</t>
  </si>
  <si>
    <t>1.1.10</t>
  </si>
  <si>
    <t>1.1.11</t>
  </si>
  <si>
    <t>1.5.3</t>
  </si>
  <si>
    <t>1.5.4</t>
  </si>
  <si>
    <t>1.5.5</t>
  </si>
  <si>
    <t>1.6.2</t>
  </si>
  <si>
    <t>1.6.3</t>
  </si>
  <si>
    <t>Замена индивидуальных приборов учёта энергоресурсов в многоквартирных домах п. Амдерма</t>
  </si>
  <si>
    <t>Подпрограмма 2 "Развитие транспортной инфраструктуры муниципального района "Заполярный район"</t>
  </si>
  <si>
    <t>Раздел 3.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</si>
  <si>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>3.2.5</t>
  </si>
  <si>
    <t>3.2.6</t>
  </si>
  <si>
    <t>Поставка и монтаж водоподготовительной установки в п. Каратайка МО "Юшарский сельсовет" НАО</t>
  </si>
  <si>
    <t>Монтаж и обвязка станции очистки воды в п. Усть-Кара МО "Карский сельсовет" НАО.</t>
  </si>
  <si>
    <t>Проведение ремонтно-восстановительных работ на станции очистки воды в с. Коткино МО "Коткинский сельсовет" НАО</t>
  </si>
  <si>
    <t>4.2.6</t>
  </si>
  <si>
    <t>4.2.7</t>
  </si>
  <si>
    <t>5.3.2.18</t>
  </si>
  <si>
    <t>5.10.2</t>
  </si>
  <si>
    <t>Приобретение и доставка лодочного мотора в МО "Великовисочный сельсовет" НАО</t>
  </si>
  <si>
    <t>6.2.3</t>
  </si>
  <si>
    <t xml:space="preserve">Подпрограмма 6 "Развитие коммунальной инфраструктуры муниципального района "Заполярный район" </t>
  </si>
  <si>
    <t xml:space="preserve">Подпрограмма 5 "Развитие социальной инфраструктуры и создание комфортных условий проживания на территории муниципального района "Заполярный район" </t>
  </si>
  <si>
    <t>Ремонт системы отопления в квартире № 2 в жилом доме 2 по ул. Ягодная в с. Несь МО «Канинский сельсовет» НАО</t>
  </si>
  <si>
    <t>Проведение ремонтно-восстановительных работ на станции очистки воды (БВПУ) в п. Индига</t>
  </si>
  <si>
    <t>Приобретение аккумуляторов для обеспечения бесперебойного электроснабжения д. Мгла, д. Волонга, д. Белушье, п. Варнек, д. Устье</t>
  </si>
  <si>
    <t>Поставка инверторов для источников бесперебойного питания д. Мгла, д. Волонга, д. Белушье, п. Варнек, д. Устье</t>
  </si>
  <si>
    <t>Доставка и монтаж резервного источника электроснабжения в д. Тошвиска МО "Великовисочный сельсовет" НАО</t>
  </si>
  <si>
    <t>Поставка емкостей (20 шт.) для хранения дизельного топлива  в с. Ома МО "Омский сельсовет" НАО</t>
  </si>
  <si>
    <t>5.6.4</t>
  </si>
  <si>
    <t>3.1.2</t>
  </si>
  <si>
    <t>Техническое перевооружение газовой котельной объекта «Строительство очистных сооружений производительностью 2500 м3 в сутки в п. Искателей» с разработкой проектной документации</t>
  </si>
  <si>
    <t>Изготовление межевого плана на земельный участок под размещение кладбища в п. Бугрино МО «Колгуевский сельсовет» НАО</t>
  </si>
  <si>
    <t>Изготовление технических планов на 12 колодцев, находящихся на территории МО «Пешский сельсовет» НАО</t>
  </si>
  <si>
    <t>6.4.</t>
  </si>
  <si>
    <t>6.4.1</t>
  </si>
  <si>
    <t>Приобретение гаража для хранения коммунальной техники в с. Великовисочное</t>
  </si>
  <si>
    <t>Раздел 4. Приобретение объектов недвижимости</t>
  </si>
  <si>
    <t>1.1.4</t>
  </si>
  <si>
    <t>1.1.5</t>
  </si>
  <si>
    <t>1.1.6</t>
  </si>
  <si>
    <t>1.2.20</t>
  </si>
  <si>
    <t>1.2.21</t>
  </si>
  <si>
    <t>3.1.3</t>
  </si>
  <si>
    <t>3.2.1</t>
  </si>
  <si>
    <t>5.8.7</t>
  </si>
  <si>
    <t>5.8.8</t>
  </si>
  <si>
    <t>5.8.9</t>
  </si>
  <si>
    <t>5.8.10</t>
  </si>
  <si>
    <t>4.2.3</t>
  </si>
  <si>
    <t>4.2.4</t>
  </si>
  <si>
    <t>4.2.5</t>
  </si>
  <si>
    <t>4.2.8</t>
  </si>
  <si>
    <t>Ремонт электропроводки в кв. № 5 жилого дома № 19 по ул. Калинина в с. Нижняя Пеша, МО «Пешский сельсовет» НАО</t>
  </si>
  <si>
    <t>6.3.3</t>
  </si>
  <si>
    <t>Приобретение и поставка специализированной техники до г. Архангельск</t>
  </si>
  <si>
    <t>Приобретение 2 квартир в 2-квартирном жилом доме № 2 в п. Бугрино МО Колгуевский сельсовет"</t>
  </si>
  <si>
    <t>Раздел 3. Подготовка объектов коммунальной инфраструктуры к осенне-зимнему периоду</t>
  </si>
  <si>
    <t>3.3.1</t>
  </si>
  <si>
    <t>3.3.2</t>
  </si>
  <si>
    <t>Установка ГРПБ (газорегуляторный пункт блочный) в с. Тельвиска</t>
  </si>
  <si>
    <t>Приобретение и поставка полуприцепа тракторного вакуумного в п. Шойна</t>
  </si>
  <si>
    <t>Всего на 2017-2022 годы (тыс. руб.)</t>
  </si>
  <si>
    <t>в том числе (тыс. руб.)</t>
  </si>
  <si>
    <t>Выполнение дополнительных работ на объекте «Школа на 100 мест в с. Тельвиска Ненецкого автономного округа» с целью передачи в государственную собственность</t>
  </si>
  <si>
    <t>5.1.9</t>
  </si>
  <si>
    <t>6.5.</t>
  </si>
  <si>
    <t>МО «Городское поселение «Рабочий поселок Искателей»</t>
  </si>
  <si>
    <t>6.5.1</t>
  </si>
  <si>
    <t>Приобретение жилого помещения (квартира) № 1 в многоквартирном доме в п. Индига МО «Тиманский сельсовет» НАО</t>
  </si>
  <si>
    <t>Приобретение жилого помещения (квартира) № 2 в многоквартирном доме в п. Индига МО «Тиманский сельсовет» НАО</t>
  </si>
  <si>
    <t>Приобретение жилого помещения (квартира) № 1 в многоквартирном доме в с. Коткино МО «Коткинский сельсовет» НАО</t>
  </si>
  <si>
    <t>Приобретение жилого помещения (квартира) № 2 многоквартирном доме в с. Коткино МО «Коткинский сельсовет» НАО</t>
  </si>
  <si>
    <t>1.1.12</t>
  </si>
  <si>
    <t>1.1.13</t>
  </si>
  <si>
    <t>Раздел 5. Организация вывоза стоков из септиков и выгребных ям</t>
  </si>
  <si>
    <t>МП "Комплексное развитие муниципального района "Заполярный район" на 2017-2022 годы"</t>
  </si>
  <si>
    <t>5.8.11</t>
  </si>
  <si>
    <t>Изготовление межевого плана на земельный участок под складирование металлолома в п. Амдерма МО "Поселок Амдерма" НАО</t>
  </si>
  <si>
    <t>1.3.3</t>
  </si>
  <si>
    <t>Снос ветхих жилых домов в п. Красное: № 20 по ул. Тундровая, № 7 по ул. Новая, № 12 по ул. Пионерская (софинансирование в размере 50% стоимости мероприятия)</t>
  </si>
  <si>
    <t>5.10.4</t>
  </si>
  <si>
    <t>1.5.6</t>
  </si>
  <si>
    <t>1.3.4</t>
  </si>
  <si>
    <t>Снос дома № 93 в с. Великовисочное (после пожара)</t>
  </si>
  <si>
    <t>Приобретение 2-комнатной квартиры в с. Коткино МО «Коткинский сельсовет» НАО»</t>
  </si>
  <si>
    <t>1.2.22</t>
  </si>
  <si>
    <t>Ремонт 4-х квартирного жилого дома № 1 в п. Индига, МО «Тиманский сельсовет»</t>
  </si>
  <si>
    <t>1.2.23</t>
  </si>
  <si>
    <t>Ремонт 4-х квартирного жилого дома № 2 в п. Индига, МО «Тиманский сельсовет»</t>
  </si>
  <si>
    <t>1.2.24</t>
  </si>
  <si>
    <t>5.8.12</t>
  </si>
  <si>
    <t>Изготовление межевых планов на земельные участки под места захоронения в МО «Омский сельсовет» НАО»</t>
  </si>
  <si>
    <t>5.2.3.5</t>
  </si>
  <si>
    <t>Текущий ремонт общественной бани в с. Тельвиска</t>
  </si>
  <si>
    <t>5.3.4.</t>
  </si>
  <si>
    <t>5.3.4.1</t>
  </si>
  <si>
    <t>5.3.4.2</t>
  </si>
  <si>
    <t>МО «Великовисочный сельсовет» НАО</t>
  </si>
  <si>
    <t>МО «Пешский сельсовет» НАО</t>
  </si>
  <si>
    <t>5.2.3.6</t>
  </si>
  <si>
    <t>Ремонт общественных бань, находящихся в муниципальной собственности МО «Муниципальный район «Заполярный район»</t>
  </si>
  <si>
    <t>5.11.2</t>
  </si>
  <si>
    <t>Корректировка проектной документации объекта "Ферма на 50 голов в с. Ома"</t>
  </si>
  <si>
    <t>5.6.5</t>
  </si>
  <si>
    <t>Капитальный ремонт культурно-досугового учреждения в п. Хорей-Вер</t>
  </si>
  <si>
    <t xml:space="preserve">Снос здания по ул. Центральная д. 10 Б в п. Красное (школьные мастерские)  </t>
  </si>
  <si>
    <t>МО «Приморско-Куйский сельсовет» НАО</t>
  </si>
  <si>
    <t>5.12.</t>
  </si>
  <si>
    <t>5.12.1</t>
  </si>
  <si>
    <t>5.10.5</t>
  </si>
  <si>
    <t>Установка универсальной спортивной площадки вблизи школы на 100 мест в с. Тельвиска</t>
  </si>
  <si>
    <t>1.6.4</t>
  </si>
  <si>
    <t>Установка общедомовых приборов учета тепловой энергии в многоквартирных жилых домах в с. Оксино</t>
  </si>
  <si>
    <t>5.3.4.3</t>
  </si>
  <si>
    <t>5.3.4.4</t>
  </si>
  <si>
    <t>5.3.4.5</t>
  </si>
  <si>
    <t>МО «Шоинский сельсовет» НАО</t>
  </si>
  <si>
    <t>МО «Малоземельский сельсовет» НАО</t>
  </si>
  <si>
    <t>МО «Пустозерский сельсовет» НАО</t>
  </si>
  <si>
    <t>1.2.25</t>
  </si>
  <si>
    <t>Ремонт системы отопления дома № 82 в с. Великовисочное МО "Великовисочный сельсовет" НАО</t>
  </si>
  <si>
    <t>5.2.3.7</t>
  </si>
  <si>
    <t>Ремонт помещний бани и наружных инженерных сетей к бане в п. Амдерма</t>
  </si>
  <si>
    <t>1.2.26</t>
  </si>
  <si>
    <t>Работы по восстановлению системы отопления в 12-квартирном жилом доме в п. Харута НАО</t>
  </si>
  <si>
    <t>Подраздел 3. Строительство (приобретение), капитальный и текущий ремонт общественных бань</t>
  </si>
  <si>
    <t>5.10.6</t>
  </si>
  <si>
    <t>Раздел 5. Проектирование, строительство, капитальный и (или) текущий ремонт зданий, сооружений, вертолетных площадок, взлетно-посадочных полос, дорог</t>
  </si>
  <si>
    <t>2.5.4</t>
  </si>
  <si>
    <t>5.13.</t>
  </si>
  <si>
    <t>Ремонтные работы СВП "Леопард"</t>
  </si>
  <si>
    <t>3.3</t>
  </si>
  <si>
    <t>Раздел 11. Обследование и корректировка проектной документации объектов незавершенного строительства</t>
  </si>
  <si>
    <t>Раздел 6. Осуществление работ по гарантийным обязательствам на социальных объектах поселений</t>
  </si>
  <si>
    <t>Культурно-досуговое учреждение в п. Хорей-Вер</t>
  </si>
  <si>
    <t>Раздел 2. Капитальный и текущий ремонт жилых домов, зданий, помещений</t>
  </si>
  <si>
    <t>Подраздел 4. Приобретение, замена и установка светильников уличного освещения в поселениях</t>
  </si>
  <si>
    <t>Ремонт жилого дома № 5А по ул. Полярная в с. Тельвиска                        МО «Тельвисочный сельсовет» НАО</t>
  </si>
  <si>
    <t>1.2.27</t>
  </si>
  <si>
    <t>5.3.4.6</t>
  </si>
  <si>
    <t>Подсыпка проездов с целью предотвращения подтопления паводковыми водами территории вокруг жилых домов в с. Оксино МО «Пустозерский сельсовет» НАО</t>
  </si>
  <si>
    <t>Подраздел 3. Предоставление иных межбюджетных трансфертов муниципальным образованиям на обозначение и содержание снегоходных маршрутов</t>
  </si>
  <si>
    <t>2.4.3</t>
  </si>
  <si>
    <t>2.4.3.1</t>
  </si>
  <si>
    <t>2.4.3.2</t>
  </si>
  <si>
    <t>2.4.3.3</t>
  </si>
  <si>
    <t>2.4.3.4</t>
  </si>
  <si>
    <t>2.4.3.5</t>
  </si>
  <si>
    <t>2.4.3.6</t>
  </si>
  <si>
    <t>2.4.3.7</t>
  </si>
  <si>
    <t>2.4.3.8</t>
  </si>
  <si>
    <t>2.4.3.9</t>
  </si>
  <si>
    <t>2.4.3.10</t>
  </si>
  <si>
    <t>2.4.3.11</t>
  </si>
  <si>
    <t>2.4.3.12</t>
  </si>
  <si>
    <t>2.4.2.4</t>
  </si>
  <si>
    <t>2.4.2.5</t>
  </si>
  <si>
    <t>2.3.16</t>
  </si>
  <si>
    <t>5.10.1</t>
  </si>
  <si>
    <t>5.10.3</t>
  </si>
  <si>
    <t>5.10.7</t>
  </si>
  <si>
    <t>Приобретение, доставка и установка модульного здания на базе двух мобильных зданий (блоков) в д. Снопа                 МО «Омский сельсовет» НАО (помещения ожидания воздушных судов)</t>
  </si>
  <si>
    <t>2.4.2.6</t>
  </si>
  <si>
    <t xml:space="preserve">Проведение капитального ремонта на участке  высоковольтной и низковольтной ЛЭП в п. Красное «Объект А» </t>
  </si>
  <si>
    <t>Оформление актов обследования для снятия с кадастрового учета объектов муниципального жилищного фонда и здания школьных мастерских в п. Красное</t>
  </si>
  <si>
    <t>5.10.8</t>
  </si>
  <si>
    <t>Внесение изменений в проект межевания территории  и постановки на кадастровый учет земельного участка под объектом «Строительство очистных сооружений производительностью 2500 куб. м. в сутки в п. Искателей»</t>
  </si>
  <si>
    <t>Разработка документации  по внесению изменений в проект планировки территории в части изменения схемы размещения инженерных сетей и сооружений поселка Искателей</t>
  </si>
  <si>
    <t>5.2.3.8</t>
  </si>
  <si>
    <t>Капитальный ремонт водозабора по ул. Школьная д. 1 и двух колодцев по ул. Советская д. 26 и ул. Заречная д. 9 в с. Несь</t>
  </si>
  <si>
    <t>Обследование моста ТММ-60 в п. Красное</t>
  </si>
  <si>
    <t>Подраздел 3. Ремонт и обследование мостов, пешеходных переходов и путепроводов</t>
  </si>
  <si>
    <t>МО «Колгуевский сельсовет» НАО</t>
  </si>
  <si>
    <t>МО «Поселок Амдерма» НАО</t>
  </si>
  <si>
    <t>5.3.4.7</t>
  </si>
  <si>
    <t>5.3.4.8</t>
  </si>
  <si>
    <t>Капитальный ремонт жилого дома № 28 по ул. Морская в п. Индига МО «Тиманский сельсовет» НАО»</t>
  </si>
  <si>
    <t>Капитальный ремонт жилого дома № 3 А по ул. Антоновка в п. Бугрино МО «Колгуевский сельсовет» НАО</t>
  </si>
  <si>
    <t>Ремонт жилого дома № 4 по ул. Набережная в д. Андег МО «Андегский сельсовет»</t>
  </si>
  <si>
    <t>Ремонт жилого дома № 5 по ул. Набережная в д. Андег МО «Андегский сельсовет»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</si>
  <si>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</si>
  <si>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Текущий ремонт общественной бани в п. Красное</t>
  </si>
  <si>
    <t>Увеличение площади муниципального жилищного фонда, предоставляемого гражданам по договорам социального найма</t>
  </si>
  <si>
    <t>общая площадь построенных (приобретенных) жилых помещений</t>
  </si>
  <si>
    <t>количество семей, улучшивших жилищные условия</t>
  </si>
  <si>
    <t>Проведение текущего и (или) капитального ремонта в жилых домах муниципального жилищного фонда</t>
  </si>
  <si>
    <t>количество жилых домов, в которых проведен текущий и (или) капитальный ремонт</t>
  </si>
  <si>
    <t>Снос жилых домов, признанных непригодными для проживания и/или с высоким уровнем износа</t>
  </si>
  <si>
    <t>общая площадь ликвидированного жилищного фонда, признанного непригодным для проживания и/или с высоким уровнем износа</t>
  </si>
  <si>
    <t>штук</t>
  </si>
  <si>
    <t>Содержание мест причаливания речного транспорта в поселениях Заполярного района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</si>
  <si>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</si>
  <si>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Приобретение современной техники, удовлетворяющей специфике региона</t>
  </si>
  <si>
    <t>Приобретение запчастей и комплектующих для транспортных средств</t>
  </si>
  <si>
    <t>доля транспортных средств на воздушной подушке в технически исправном состоянии</t>
  </si>
  <si>
    <t>%</t>
  </si>
  <si>
    <t>Разработка проектов организации дорожного движения на автомобильных дорогах общего пользования местного значения</t>
  </si>
  <si>
    <t>доля муниципальных образований, по которым разработаны проекты организации дорожного движения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</si>
  <si>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</si>
  <si>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количество отобранных проб воды</t>
  </si>
  <si>
    <t>Приобретение оборудования для очистки сточных вод</t>
  </si>
  <si>
    <t>количество приобретенного оборудования для очистки сточных вод</t>
  </si>
  <si>
    <t>Строительство очистных сооружений</t>
  </si>
  <si>
    <t>объект</t>
  </si>
  <si>
    <t>количество установленных газорегуляторных пунктов</t>
  </si>
  <si>
    <t>протяженность построенных и реконструированных тепловых сетей</t>
  </si>
  <si>
    <t>количество приобретенных источников бесперебойного питания</t>
  </si>
  <si>
    <t>количество приобретенных инверторов для обеспечения бесперебойного электроснабжения</t>
  </si>
  <si>
    <t>количество приобретенных котлов для обеспечения теплоснабжения</t>
  </si>
  <si>
    <t>мест</t>
  </si>
  <si>
    <t>количество разработанных проектов на строительство объектов образования</t>
  </si>
  <si>
    <t>количество помывок в общественных банях</t>
  </si>
  <si>
    <t>доля населения Заполярного района, охваченного процессом благоустройства территорий</t>
  </si>
  <si>
    <t>кВт•час</t>
  </si>
  <si>
    <t>количество установленных светильников уличного освещения со светодиодными элементами</t>
  </si>
  <si>
    <t>количество отремонтированных объектов образования</t>
  </si>
  <si>
    <t>количество установленных памятников в текущем году</t>
  </si>
  <si>
    <t>Организация работ по межеванию и постановке земельных участков на кадастровый учет</t>
  </si>
  <si>
    <t>количество изготовленных межевых планов</t>
  </si>
  <si>
    <t>Разработка программ комплексного развития поселений для решения вопросов местного значения</t>
  </si>
  <si>
    <t>количество разработанных программ комплексного развития поселений</t>
  </si>
  <si>
    <t>количество обследованных объектов незавершенного строительства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</si>
  <si>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</si>
  <si>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доля населения Заполярного района, обеспеченного местами сбора твердых коммунальных отходов</t>
  </si>
  <si>
    <t>доля муниципальных образований, участвующих в организации деятельности по сбору и транспортированию ТКО</t>
  </si>
  <si>
    <t>количество приобретенных объектов недвижимости</t>
  </si>
  <si>
    <t>доля муниципальных образований, участвующих в организации деятельности по вывозу стоков из септиков и выгребных ям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</si>
  <si>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</si>
  <si>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</si>
  <si>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</si>
  <si>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Подпрограмма 1 «Строительство (приобретение) и проведение мероприятий по капитальному и текущему ремонту жилых помещений муниципального района «Заполярный район»</t>
  </si>
  <si>
    <t xml:space="preserve">тыс. кв. м </t>
  </si>
  <si>
    <t xml:space="preserve">семья </t>
  </si>
  <si>
    <t>единица</t>
  </si>
  <si>
    <t>тыс. кв. м</t>
  </si>
  <si>
    <t>общая площадь обследованных жилых домов с целью признания их аварийными и подлежащими сносу или реконструкции</t>
  </si>
  <si>
    <t>Разработка проектной документации,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</si>
  <si>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</si>
  <si>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Подпрограмма 2 «Развитие транспортной инфраструктуры муниципального района «Заполярный район»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</si>
  <si>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</si>
  <si>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</si>
  <si>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количество причалов, содержащихся в надлежащем порядке</t>
  </si>
  <si>
    <t>количество автомобильных дорог, содержащихся в надлежащем порядке</t>
  </si>
  <si>
    <t>количество приобретенной техники для перевозки пассажиров</t>
  </si>
  <si>
    <t>Обозначение и содержание снегоходных маршрутов, расположенных на территории муниципального района «Заполярный район»</t>
  </si>
  <si>
    <t>доля населения, имеющего доступ к снегоходным трассам, расположенным на территории муниципального района «Заполярный район»</t>
  </si>
  <si>
    <t>количество отремонтированных объектов транспортной инфраструктуры</t>
  </si>
  <si>
    <t>кол-во разработанных проектов на строительство объектов транспортной инфраструктуры</t>
  </si>
  <si>
    <t>километр</t>
  </si>
  <si>
    <t>Подпрограмма 3 «Обеспечение населения муниципального района «Заполярный район» чистой водой»</t>
  </si>
  <si>
    <t>Проведение исследований качества воды</t>
  </si>
  <si>
    <t>проб</t>
  </si>
  <si>
    <t xml:space="preserve">удельный вес проб воды, отбор которых произведён из водных объектов (в т. ч. оборудованных водозаборными устройствами, установками), не отвечающих гигиеническим нормативам по санитарно-бактериологическим показателям </t>
  </si>
  <si>
    <t xml:space="preserve">удельный вес проб воды, отбор которых произведён из водных объектов (в т. ч. оборудованных водозаборными устройствами, установками), не отвечающих гигиеническим нормативам по санитарно-гигиеническим показателям </t>
  </si>
  <si>
    <t>количество построенных очистных сооружений</t>
  </si>
  <si>
    <t>Создание условий для обеспечения населения чистой водой</t>
  </si>
  <si>
    <t xml:space="preserve">доля населенных пунктов, обеспеченных питьевой водой надлежащего качества </t>
  </si>
  <si>
    <t>Подпрограмма 4 «Энергоэффективность и развитие энергетики муниципального района «Заполярный район»</t>
  </si>
  <si>
    <t>Энергосбережение и повышение энергетической эффективности</t>
  </si>
  <si>
    <t>количество комплектных трансформаторных подстанций, на которых проведен капитальный и/или текущий ремонт</t>
  </si>
  <si>
    <t>проект</t>
  </si>
  <si>
    <t>количество введенных в эксплуатацию объектов электроэнергетики</t>
  </si>
  <si>
    <t>количество замененных светильников уличного освещения на светильники со светодиодными элементами</t>
  </si>
  <si>
    <t>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</si>
  <si>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Подготовка объектов коммунальной инфраструктуры к осенне-зимнему периоду</t>
  </si>
  <si>
    <t>количество приобретенных емкостей для хранения топлива</t>
  </si>
  <si>
    <t>Подпрограмма 5 «Развитие социальной инфраструктуры и создание комфортных условий проживания на территории муниципального района «Заполярный район»</t>
  </si>
  <si>
    <t>Повышение уровня комплексного обустройства населенных пунктов, расположенных в сельской местности, объектами социальной инфраструктуры</t>
  </si>
  <si>
    <t>ввод в действие объектов образования</t>
  </si>
  <si>
    <t>увеличение количества мест в образовательных учреждениях</t>
  </si>
  <si>
    <t xml:space="preserve">количество объектов образования, по которым было проведено обследование и (или) корректировка проектной документации </t>
  </si>
  <si>
    <t>количество введённых в эксплуатацию спортивных сооружений</t>
  </si>
  <si>
    <t>количество отремонтированных культурно-досуговых учреждений</t>
  </si>
  <si>
    <t>помывка</t>
  </si>
  <si>
    <t>количество построенных (приобретенных) общественных бань</t>
  </si>
  <si>
    <t xml:space="preserve">количество отремонтированных общественных бань </t>
  </si>
  <si>
    <t>Благоустройство и уличное освещение территорий поселений</t>
  </si>
  <si>
    <t>количество потребленной электроэнергии на уличное освещение</t>
  </si>
  <si>
    <t>Обеспечение сохранности объектов культурного наследия (памятников истории и культуры) для создания условий их полноценного и рационального использования</t>
  </si>
  <si>
    <t>количество объектов культурного наследия, в которых проведены работы по текущему (капитальному) ремонту</t>
  </si>
  <si>
    <t xml:space="preserve">Установка и приведение в надлежащее состояние воинских захоронений, памятников и памятных знаков, увековечивающих память погибших при защите Отечества </t>
  </si>
  <si>
    <t>Обследование объектов незавершенного строительства</t>
  </si>
  <si>
    <t>Подпрограмма 6 «Развитие коммунальной инфраструктуры муниципального района «Заполярный район»</t>
  </si>
  <si>
    <t xml:space="preserve">% </t>
  </si>
  <si>
    <t>Участие в организации деятельности по сбору и транспортированию твердых коммунальных отходов</t>
  </si>
  <si>
    <t>Приобретение коммунальной (специализированной) техники</t>
  </si>
  <si>
    <t>Приобретение объектов недвижимости</t>
  </si>
  <si>
    <t>Организация вывоза стоков из септиков и выгребных ям</t>
  </si>
  <si>
    <t>Отбор проб и исследование воды водных объектов на соли тяжёлых металлов, радиологию и пестициды в населённых пунктах: п. Каратайка, с. Несь,                    п. Бугрино, с. Коткино, д. Пылемец, д. Снопа, п. Индига, с. Нижняя Пеша, д. Верхняя Пеша, п. Усть-Кара, с. Ома, п. Выучейский, д. Щелино, д. Волонга, д. Волоковая,                     с. Шойна, д. Кия, д. Макарово, д. Вижас, д. Белушье, д. Мгла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</si>
  <si>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Каратайка, с. Несь, п. Бугрино, с. Коткино, д. Пылемец, д. Снопа, п. Индига, с. Нижняя Пеша, д. Верхняя Пеша, п. Усть-Кара, с. Ома, д. Щелино, д. Волонга, п. Выучейский,                   д. Волоковая, с. Шойна, д. Кия, д. Макарово, д. Вижас, д. Белушье, д. Мгла</t>
  </si>
  <si>
    <t>Раздел 12. Приобретение и доставка транспортных средств ( в том числе комплектующих) для нужд муниципальных образований</t>
  </si>
  <si>
    <t>Раздел 13. Проверка достоверности определения сметной стоимости капитального ремонта объектов капитального строительства</t>
  </si>
  <si>
    <t>5.13.1</t>
  </si>
  <si>
    <t>Приложение 1 к муниципальной программе "Комплексное развитие муниципального района "Заполярный район" на 2017-2022 годы"</t>
  </si>
  <si>
    <t>Перечень целевых показателей муниципальной программы "Комплексное развитие муниципального района "Заполярный район" на 2017-2022 годы"</t>
  </si>
  <si>
    <t>Планируемое значение индикатора (показателя) по годам реализации муниципальной программы</t>
  </si>
  <si>
    <t>Приложение 2 к  муниципальной программе «Комплексное развитие муниципального района «Заполярный район» на 2017-2022 годы»</t>
  </si>
  <si>
    <t>Перечень мероприятий муниципальной программы "Комплексное развитие муниципального района "Заполярный район" на 2017-2022 годы"</t>
  </si>
  <si>
    <t>Источник финансирования</t>
  </si>
  <si>
    <t>Объем финансирования, тыс. рублей</t>
  </si>
  <si>
    <t>в том числе:</t>
  </si>
  <si>
    <t>Всего, в том числе:</t>
  </si>
  <si>
    <t>внебюджетные источники</t>
  </si>
  <si>
    <t>Ресурсное обеспечение реализации муниципальной программы "Комплексное развитие муниципального района "Заполярный район" на 2017-2022 годы"</t>
  </si>
  <si>
    <t>1.2.28</t>
  </si>
  <si>
    <t>1.2.29</t>
  </si>
  <si>
    <t>1.2.30</t>
  </si>
  <si>
    <t>1.2.31</t>
  </si>
  <si>
    <t>5.3.3.3</t>
  </si>
  <si>
    <t>5.8.13</t>
  </si>
  <si>
    <t>5.10.9</t>
  </si>
  <si>
    <t>5.10.10</t>
  </si>
  <si>
    <t>Приложение 3 к  муниципальной программе "Комплексное развитие муниципального района "Заполярный район" на 2017-2022 годы"</t>
  </si>
  <si>
    <t>Подраздел 1. Приобретение, доставка транспортных средств (в том числе запчастей и комплектующих) и ремонт объектов транспортной инфраструктуры</t>
  </si>
  <si>
    <t xml:space="preserve">Раздел 1. Проведение исследования качества воды </t>
  </si>
  <si>
    <t>Устройство детской площадки в п. Амдерма</t>
  </si>
  <si>
    <t>5.2.3.8.1</t>
  </si>
  <si>
    <t>Ремонт общественной бани в п. Каратайка</t>
  </si>
  <si>
    <t>1.6.5</t>
  </si>
  <si>
    <t>Замена индивидуальных приборов учета электрической энергии в жилых помещениях (квартирах) МО «Пешский сельсовет» НАО</t>
  </si>
  <si>
    <t>Выполнение работ по гидравлической промывке, испытаний на плотность и прочность системы отопления потребителей тепловой энергии</t>
  </si>
  <si>
    <t>5.10.11</t>
  </si>
  <si>
    <t>Оформление актов обследования для снятия с кадастрового учета объектов муниципального жилищного фонда в п. Индига</t>
  </si>
  <si>
    <t>5.10.12</t>
  </si>
  <si>
    <t>6.2.4</t>
  </si>
  <si>
    <t>1.2.32</t>
  </si>
  <si>
    <t>Ремонт печи в квартире № 2 в жилом доме № 127 по ул. Рыбацкая в п. Индига, МО «Тиманский сельсовет» НАО</t>
  </si>
  <si>
    <t>1.2.33</t>
  </si>
  <si>
    <t>Ремонт печи в квартире № 2 в жилом доме № 159 по ул. Новая в п. Индига, МО «Тиманский сельсовет» НАО</t>
  </si>
  <si>
    <t>Ремонт системы отопления в жилом доме № 1 по ул. Полярная в с. Тельвиска МО «Тельвисочный сельсовет» НАО</t>
  </si>
  <si>
    <t>1.2.34</t>
  </si>
  <si>
    <t>Раздел 2. Участие в организации деятельности по сбору и транспортированию твердых коммунальных отходов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</si>
  <si>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муниципальных образований, предназначенных под складирование отходов</t>
  </si>
  <si>
    <t>УЖКХиС Администрации Заполярного района, Администрация Заполярного района, МКУ ЗР "Северное"</t>
  </si>
  <si>
    <t>Ремонтные работы на объекте «Корпус школы на 110 мест в с. Нижняя Пеша Ненецкого автономного округа»</t>
  </si>
  <si>
    <t>Вывоз песка от придомовых территорий д. № 1, № 3, № 4, № 5 по ул. Набережная, д. № 4 по ул. Заполярная в с. Шойна МО «Шоинский сельсовет» НАО</t>
  </si>
  <si>
    <t>Базовое значение индикатора в год, предшествующий началу реализации муниципальной программы</t>
  </si>
  <si>
    <t>Приобретение  КТП-10/0,4 кВ (мощностью 100, 160, 250, 400 кВА) для капитального ремонта ЛЭП в с.Коткино</t>
  </si>
  <si>
    <t>Приобретение опор деревянных С2 (199 шт.) для капитального ремонта ЛЭП в с. Коткино</t>
  </si>
  <si>
    <t>5.7.2</t>
  </si>
  <si>
    <t>Проведение ремонта постамента памятника ветеранам Великой Отечественной войны в п. Выучейский МО «Тиманский сельсовет» НАО</t>
  </si>
  <si>
    <t>5.8.14</t>
  </si>
  <si>
    <t>Проведение кадастровых работ по формированию 6-ти земельных участков под жилые дома в МО «Пешский сельсовет» НАО</t>
  </si>
  <si>
    <t>5.8.15</t>
  </si>
  <si>
    <t>Устройство наружной канализации (септика) общественной бани в д. Белушье</t>
  </si>
  <si>
    <t>5.10.13</t>
  </si>
  <si>
    <t>4.2.9</t>
  </si>
  <si>
    <t>Капитальный ремонт ЛЭП в п. Красное (объект B, C, D, E)</t>
  </si>
  <si>
    <t>Приобретение общественной бани в с. Оксино МО "Пустозерский сельсовет" НАО</t>
  </si>
  <si>
    <t>количество квартир муниципального жилищного фонда, в которых заменены индивидуальные приборы учета коммунальных ресурсов</t>
  </si>
  <si>
    <t>количество домов, оснащенных общедомовыми приборами учета коммунальных ресурсов</t>
  </si>
  <si>
    <t>единиц</t>
  </si>
  <si>
    <t>Приобретение, доставка и установка модульного здания на базе двух блок-контейнеров в п. Усть-Кара МО «Карский сельсовет» НАО (помещения ожидания воздушных судов) с подключением к электросетям</t>
  </si>
  <si>
    <t>2.8.</t>
  </si>
  <si>
    <t>Раздел 8. Муниципальная поддержка пассажирских перевозок общественным автомобильным транспортом</t>
  </si>
  <si>
    <t>2.8.1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</si>
  <si>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</si>
  <si>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</si>
  <si>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5.3.4.9</t>
  </si>
  <si>
    <t>человек</t>
  </si>
  <si>
    <t>количество перевезенных пассажиров автомобильным транспортом в муниципальном сообщении</t>
  </si>
  <si>
    <t>Обеспечение потребности в перевозках пассажиров на социально значимых маршрутах</t>
  </si>
  <si>
    <t>4.2.10</t>
  </si>
  <si>
    <t>количество приобретенных комплектных трансформаторных подстанций</t>
  </si>
  <si>
    <t>количество приобретенных деревянных опор для линии электропередач</t>
  </si>
  <si>
    <t>количество отремонтированных памятников в текущем году</t>
  </si>
  <si>
    <t>1.7.</t>
  </si>
  <si>
    <t>Раздел 7. Подготовка земельных участков под жилищное строительство</t>
  </si>
  <si>
    <t>1.7.1.</t>
  </si>
  <si>
    <t>Подготовка земельного участка под строительство 4-х квартирного жилого дома в п. Усть-Кара</t>
  </si>
  <si>
    <t>6.6.</t>
  </si>
  <si>
    <t>6.6.1</t>
  </si>
  <si>
    <t>Раздел 6. Иные мероприятия</t>
  </si>
  <si>
    <t>3.2.7</t>
  </si>
  <si>
    <t>Поставка и монтаж станции очистки сточных вод в п. Амдерма</t>
  </si>
  <si>
    <t>2.5.5</t>
  </si>
  <si>
    <t>2.5.6</t>
  </si>
  <si>
    <t>Приобретение и монтаж светосигнального оборудования вертолетной площадки в с. Несь</t>
  </si>
  <si>
    <t>Текущий ремонт вертолетной площадки в с. Несь</t>
  </si>
  <si>
    <t>Приобретение 4-квартирного жилого дома №1 в п. Усть-Кара МО "Карский сельсовет" НАО</t>
  </si>
  <si>
    <t>6.1.18</t>
  </si>
  <si>
    <t>2.5.7</t>
  </si>
  <si>
    <t>Ремонт участка автомобильной дороги общего пользования местного значения «с.Оксино-причал» (участок от дома № 1 до дома № 6)</t>
  </si>
  <si>
    <t>Ремонт участка автомобильной дороги общего пользования местного значения «с.Оксино-причал» (участок от дома № 4 до дома № 120)</t>
  </si>
  <si>
    <t>2.4.1.4</t>
  </si>
  <si>
    <t>Приобретение и доставка пассажирского катера</t>
  </si>
  <si>
    <t>3.2.8</t>
  </si>
  <si>
    <t>Поставка и монтаж локальных очистных сооружений в п. Индига</t>
  </si>
  <si>
    <t>Капитальный ремонт жилого дома № 159 по ул. Новая в п. Индига МО "Тиманский сельсовет" НАО</t>
  </si>
  <si>
    <t>2.7.2</t>
  </si>
  <si>
    <t>Строительство моста через р. Кутина в с. Несь Ненецкого автономного округа</t>
  </si>
  <si>
    <t>Капитальный ремонт ЛЭП в с. Великовисочное</t>
  </si>
  <si>
    <t>5.10.14</t>
  </si>
  <si>
    <t>Снос спортивной площадки в с. Тельвиска МО «Тельвисочный сельсовет» НАО»</t>
  </si>
  <si>
    <t>5.7.3</t>
  </si>
  <si>
    <t>Благоустройство обелиска памяти воинов, павших в Великой Отечественной войне 1941-1945 гг. в с. Шойна МО «Шоинский сельсовет» НАО</t>
  </si>
  <si>
    <t>Подраздел 2.Приобретение и доставка объектов, оборудования транспортной инфраструктуры</t>
  </si>
  <si>
    <t>2.4.2.7</t>
  </si>
  <si>
    <t>Приобретение и доставка авиационной стремянки в п. Индига</t>
  </si>
  <si>
    <t>1.2.35</t>
  </si>
  <si>
    <t>Текущий ремонт жилого помещения № 2 дома № 17 по ул. Центральная в п. Красное МО «Приморско-Куйский сельсовет» НАО</t>
  </si>
  <si>
    <t>Устройство водозаборной скважины в с. Тельвиска 
МО «Тельвисочный сельсовет» НАО</t>
  </si>
  <si>
    <t>Ремонт ЛЭП в с. Шойна Мо «Шоинский сельсовет» НАО</t>
  </si>
  <si>
    <t>4.1.22</t>
  </si>
  <si>
    <t>Изготовление межевого плана на земельный участок под памятник участникам ВОВ в п. Индига</t>
  </si>
  <si>
    <t>5.8.16</t>
  </si>
  <si>
    <t>5.8.17</t>
  </si>
  <si>
    <t>Проведение кадастровых работ по формированию 13-ти земельных участков под жилые дома в МО «Поселок Амдерма» НАО</t>
  </si>
  <si>
    <t>5.8.18</t>
  </si>
  <si>
    <t>5.8.19</t>
  </si>
  <si>
    <t>5.8.20</t>
  </si>
  <si>
    <t>5.8.21</t>
  </si>
  <si>
    <t>5.8.22</t>
  </si>
  <si>
    <t>5.8.23</t>
  </si>
  <si>
    <t>Проведение кадастровых работ по формированию 6-ти земельных участков под жилые дома в МО «Пустозерский сельсовет» НАО</t>
  </si>
  <si>
    <t>Проведение кадастровых работ по формированию 1-го земельных участков под жилые дома в МО «Приморско-Куйский сельсовет» НАО</t>
  </si>
  <si>
    <t>Проведение кадастровых работ по формированию 3-х земельных участков под жилые дома в МО «Омский сельсовет» НАО</t>
  </si>
  <si>
    <t>Проведение кадастровых работ по формированию 5-ти земельных участков под жилые дома в МО «Хоседа-Хардский мсельсовет» НАО</t>
  </si>
  <si>
    <t>Проведение кадастровых работ по формированию 1-го земельных участков под жилые дома в МО «Хорей-Верский  сельсовет» НАО</t>
  </si>
  <si>
    <t>Проведение кадастровых работ по формированию 2-х земельных участков под жилые дома в МО «Тельвисочный сельсовет» НАО</t>
  </si>
  <si>
    <t>Проведение кадастровых работ по формированию 1-го земельных участков под жилые дома в МО «Коткинский сельсовет» НАО</t>
  </si>
  <si>
    <t>Приобретение гаража для хранения коммунальной техники в п. Харута</t>
  </si>
  <si>
    <t>6.4.2</t>
  </si>
  <si>
    <t>Изготовление технических планов на 5 общественных кладбищ, находящихся на территории МО «Великовисочный сельсовет» НАО</t>
  </si>
  <si>
    <t>Строительство и реконструкция автомобильных дорог</t>
  </si>
  <si>
    <t>Изготовление технических планов на 3 колодца, находящихся на территории МО «Шоинский сельсовет» НАО</t>
  </si>
  <si>
    <t>Проектирование, строительство, капитальный и (или) текущий ремонт зданий, сооружений, вертолетных площадок, взлетно-посадочных полос, дорог</t>
  </si>
  <si>
    <t>Предоставление бытовых услуг населению Заполярного района</t>
  </si>
  <si>
    <t>протяженность реконструированных и отремонтированных линий электропередач</t>
  </si>
  <si>
    <t>количество приобретенной коммунальной техники</t>
  </si>
  <si>
    <t>1.2.36</t>
  </si>
  <si>
    <t>Поставка, монтаж и пуско-наладочные работы водоподготовительной установки д. Чижа МО «Канинский сельсовет» НАО</t>
  </si>
  <si>
    <t>4.2.11</t>
  </si>
  <si>
    <t>1.7.2.</t>
  </si>
  <si>
    <t>1.3.5</t>
  </si>
  <si>
    <t>Снос ветхого жилого дома № 3 по ул. Новая в с. Нижняя Пеша</t>
  </si>
  <si>
    <t xml:space="preserve">Разработка проектной документации на установку общедомовых приборов учёта тепловой энергии в многоквартирных домах в с. Великовисочное (МКД № 20, 31, 32, 82, 87, 87А) </t>
  </si>
  <si>
    <t>1.6.6</t>
  </si>
  <si>
    <t>1.1.14</t>
  </si>
  <si>
    <t>Приобретение 1-комнатной квартиры в п. Индига МО «Тиманский сельсовет» НАО</t>
  </si>
  <si>
    <t xml:space="preserve">Устройство вертолетной площадки в с. Шойна МО «Шоинский сельсовет» НАО </t>
  </si>
  <si>
    <t>2.4.2.8</t>
  </si>
  <si>
    <t>Приобретение и доставка мобильного здания (помещения ожидания воздушных судов) в п. Бугрино МО «Колгуевский сельсовет» НАО</t>
  </si>
  <si>
    <t xml:space="preserve">Поставка, монтаж, наладка и запуск в работу водоочистительного оборудования, накопительных емкостей 
в количестве двух комплектов в п. Красное
</t>
  </si>
  <si>
    <t>3.2.9</t>
  </si>
  <si>
    <t>5.10.15</t>
  </si>
  <si>
    <t>Приобретение и поставка запасных частей для ремонта двигателя автоцистерны на шасси Урал 4320 в п. Индига МО «Тиманский сельсовет» НАО</t>
  </si>
  <si>
    <t>5.3.4.10</t>
  </si>
  <si>
    <t>5.10.16</t>
  </si>
  <si>
    <t>Приобретение и доставка детской площадки в с. Шойна МО «Шоинский сельсовет» НАО</t>
  </si>
  <si>
    <t xml:space="preserve">Капитальный ремонт моста через ручей «Лахтенный» в с. Несь НАО </t>
  </si>
  <si>
    <t>5.10.17</t>
  </si>
  <si>
    <t>Подсыпка земельного участка с целью предотвращения подтопления паводковыми водами территории вокруг жилого дома в с. Оксино</t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</si>
  <si>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п. Выучейский МО «Тиманский сельсовет» НАО»</t>
    </r>
  </si>
  <si>
    <r>
      <t xml:space="preserve">Поставка, монтаж и пуско-наладочные работы водоподготовительной установки п. Бугрино </t>
    </r>
    <r>
      <rPr>
        <sz val="12"/>
        <color rgb="FF000000"/>
        <rFont val="Times New Roman"/>
        <family val="1"/>
        <charset val="204"/>
      </rPr>
      <t xml:space="preserve"> МО «Колгуевский сельсовет» НАО»</t>
    </r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</si>
  <si>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д. Пылемец МО «Великовисочный сельсовет» НАО»</t>
    </r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</si>
  <si>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д. Верхняя Пеша МО «Пешский сельсовет» НАО»</t>
    </r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</si>
  <si>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д. Волоковая МО «Пешский сельсовет» НАО»</t>
    </r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</si>
  <si>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д. Щелино МО «Великовисочный сельсовет» НАО»</t>
    </r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</si>
  <si>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д. Кия МО «Шоинский сельсовет» НАО»</t>
    </r>
  </si>
  <si>
    <t>Приобретение, поставка и монтаж комплектной трансформаторной подстанции 250/10/0,4 кВ для бесперебойного снабжения строящейся школы в п. Индига</t>
  </si>
  <si>
    <t>1.2.37</t>
  </si>
  <si>
    <t>Капитальный ремонт жилого дома № 1 А по ул. Антоновка в п. Бугрино МО "Колгуевский сельсовет" НАО</t>
  </si>
  <si>
    <t>Строительство водоподготовительной установки в д. Макарово МО «Тельвисочный сельсовет» НАО</t>
  </si>
  <si>
    <t>2.4.1.5</t>
  </si>
  <si>
    <t>Приобретение и доставка лодочного мотора для МП ЗР «СТК»</t>
  </si>
  <si>
    <t>Устройство основной и резервной скважин в п. Выучейский МО "Тиманский сельсовет" НАО</t>
  </si>
  <si>
    <t>Раздел 4. Строительство, приобретение и монтаж объектов водоотведения</t>
  </si>
  <si>
    <t>3.4.</t>
  </si>
  <si>
    <t>3.4.1</t>
  </si>
  <si>
    <t>3.4.2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</si>
  <si>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</si>
  <si>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</si>
  <si>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</si>
  <si>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</si>
  <si>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</si>
  <si>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</si>
  <si>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</si>
  <si>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</si>
  <si>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</si>
  <si>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Раздел 6. Содержание имущества, находящегося в муниципальной собственности поселений, разработка проектно-сметной документации на реализацию мероприятий по содержанию имущества</t>
  </si>
  <si>
    <t>количество разработанной проектной документации по содержанию имущества</t>
  </si>
  <si>
    <t>3.1.4</t>
  </si>
  <si>
    <t>3.1.5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</si>
  <si>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Макарово, д. Белушье, д. Волонга, д. Волоковая, д. Верхняя Пёша, д. Мгла, д. Чижа, с. Шойна, д. Снопа, д. Вижас д. Щелино, д. Пылемец, п. Выучейский, д. Осколково, д. Кия</t>
  </si>
  <si>
    <t>Отбор проб и исследование воды водных объектов на соли тяжёлых металлов, радиологию в населённых пунктах: д. Макарово, д. Белушье, д. Волонга, д. Волоковая, д. Верхняя Пёша, д. Мгла, д. Чижа, с. Шойна, д. Снопа, д. Вижас д. Щелино, д. Пылемец, п. Выучейский, д. Осколково, д. Кия</t>
  </si>
  <si>
    <t>Поставка, монтаж и пуско-наладочные работы водоподготовительной установки д.Снопа
МО "Омский сельсовет" НАО</t>
  </si>
  <si>
    <t>количество обустроенных объектов транспортной инфраструктуры</t>
  </si>
  <si>
    <t>2.5.8</t>
  </si>
  <si>
    <t>Содержание имущества, находящегося в муниципальной собственности поселений</t>
  </si>
  <si>
    <t>Подготовка земельного участка под устройство детской площадки в п. Амдерма</t>
  </si>
  <si>
    <t>Ликвидация несанкционированного места размещения ЖБО в п. Красное</t>
  </si>
  <si>
    <t>4.2.12</t>
  </si>
  <si>
    <t>4.2.12.1</t>
  </si>
  <si>
    <t>4.2.12.2</t>
  </si>
  <si>
    <t>4.2.12.3</t>
  </si>
  <si>
    <t>4.2.12.4</t>
  </si>
  <si>
    <t>4.2.12.5</t>
  </si>
  <si>
    <t>4.2.12.6</t>
  </si>
  <si>
    <t>4.2.12.7</t>
  </si>
  <si>
    <t>4.2.12.8</t>
  </si>
  <si>
    <t>4.2.12.9</t>
  </si>
  <si>
    <t>4.2.12.10</t>
  </si>
  <si>
    <t>5.3.3.4</t>
  </si>
  <si>
    <t>3.3.3</t>
  </si>
  <si>
    <t>Наименование муниципальной программы (подпрограммы)</t>
  </si>
  <si>
    <t>Капитальный ремонт жилого дома № 2В по ул. Оленная в п. Бугрино МО "Колгуевский сельсовет" НАО</t>
  </si>
  <si>
    <t>Текущий ремонт квартир № 3, 6, 7, 10 жилого дома № 5А по ул. Полярная в с. Тельвиска  МО "Тельвисочный сельсовет" НАО</t>
  </si>
  <si>
    <t>Капитальный ремонт жилого дома № 22 по ул. Пустозерская в с. Тельвиска  МО "Тельвисочный сельсовет" НАО</t>
  </si>
  <si>
    <t>Капитальный ремонт жилого дома № 19 по ул. Профсоюзная в с. Несь МО "Канинский сельсовет" НАО</t>
  </si>
  <si>
    <t>Ремонт квартиры № 2 в жилом доме № 11 по ул. Ягодная в с. Несь МО "Канинский сельсовет" НАО</t>
  </si>
  <si>
    <t>Капитальный ремонт жилого дома № 4 по ул. Ягодная в с. Несь МО "Канинский сельсовет" НАО</t>
  </si>
  <si>
    <t>Ремонт цокольного перекрытия в жилом доме № 165 по ул. Новая в п. Индига МО "Тиманский сельсовет" НАО</t>
  </si>
  <si>
    <t>Ремонт цокольного перекрытия в жилом доме № 166 по ул. Новая в п. Индига МО "Тиманский сельсовет" НАО</t>
  </si>
  <si>
    <t>Капитальный ремонт крыши жилого дома № 17 по ул. Набережная в д. Андег МО "Андегский сельсовет" НАО</t>
  </si>
  <si>
    <t>1.2.38</t>
  </si>
  <si>
    <t>1.2.39</t>
  </si>
  <si>
    <t>1.2.40</t>
  </si>
  <si>
    <t>1.2.41</t>
  </si>
  <si>
    <t>1.2.42</t>
  </si>
  <si>
    <t>1.2.43</t>
  </si>
  <si>
    <t>1.2.44</t>
  </si>
  <si>
    <t>1.2.45</t>
  </si>
  <si>
    <t>1.2.46</t>
  </si>
  <si>
    <t>1.2.47</t>
  </si>
  <si>
    <t>1.3.6</t>
  </si>
  <si>
    <t>Снос жилого дома № 32 по ул. Центральная в с. Коткино МО "Коткинский сельсовет" НАО</t>
  </si>
  <si>
    <t>1.6.7</t>
  </si>
  <si>
    <t>Выполнение работ по установке общедомовых приборов учёта тепловой энергии в многоквартирных домах в с. Великовисочное (МКД № 32, 87А)</t>
  </si>
  <si>
    <t>2.4.2.9</t>
  </si>
  <si>
    <t>Приобретение и доставка авиационной стремянки в с. Несь МО «Канинский сельсовет» НАО</t>
  </si>
  <si>
    <t>3.2.19</t>
  </si>
  <si>
    <t>Устройство водозаборной скважины, приобретение дополнительного оборудования, расходных материалов, запасных частей и электронасосов для БВПУ МО «Великовисочный сельсовет» НАО</t>
  </si>
  <si>
    <t>6.7.</t>
  </si>
  <si>
    <t>1.1.15</t>
  </si>
  <si>
    <t>-</t>
  </si>
  <si>
    <t>Капитальный ремонт инженерной системы теплоснабжения жилого дома № 33, квартал Явтысого в п. Нельмин-Нос МО "Малоземельский сельсовет" НАО</t>
  </si>
  <si>
    <t>Капитальный ремонт жилого дома № 9 по ул. Победы в п. Нельмин-Нос  МО "Малоземельский сельсовет" НАО</t>
  </si>
  <si>
    <t>количество обследованных жилых домов с целью проведения ремонта</t>
  </si>
  <si>
    <t xml:space="preserve">Обследование жилых домов </t>
  </si>
  <si>
    <t>1.4.2</t>
  </si>
  <si>
    <t>Раздел 4. Обследование жилых домов</t>
  </si>
  <si>
    <r>
      <t>количество приобретенных</t>
    </r>
    <r>
      <rPr>
        <sz val="11"/>
        <rFont val="Times New Roman"/>
        <family val="1"/>
        <charset val="204"/>
      </rPr>
      <t xml:space="preserve">  </t>
    </r>
    <r>
      <rPr>
        <sz val="11"/>
        <color rgb="FF000000"/>
        <rFont val="Times New Roman"/>
        <family val="1"/>
        <charset val="204"/>
      </rPr>
      <t>объектов транспортной инфраструктуры</t>
    </r>
  </si>
  <si>
    <t>Поставка, монтаж и пуско-наладочные работы водоподготовительной установки д. Вижас МО "Омский сельсовет" НАО</t>
  </si>
  <si>
    <t>6.6.2</t>
  </si>
  <si>
    <t>Софинансирование мероприятий по ликвидации несанкционированного места размещения отходов</t>
  </si>
  <si>
    <t>МО «Тельвисочный сельсовет» НАО</t>
  </si>
  <si>
    <t>6.6.2.1</t>
  </si>
  <si>
    <t>6.6.2.2</t>
  </si>
  <si>
    <t>6.6.2.3</t>
  </si>
  <si>
    <t>Раздел 7. 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</si>
  <si>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6.7.2</t>
  </si>
  <si>
    <t>6.7.1</t>
  </si>
  <si>
    <t>6.7.3</t>
  </si>
  <si>
    <t>МО «Канинский сельсовет» НАО</t>
  </si>
  <si>
    <t>1.3.7</t>
  </si>
  <si>
    <t>Снос дома № 1 по ул. Школьная в с. Шойна МО «Шоинский сельсовет» НАО</t>
  </si>
  <si>
    <t>Снос дома № 13 по ул. Колхозная в с. Коткино МО «Коткинский сельсовет» НАО</t>
  </si>
  <si>
    <t>1.3.8</t>
  </si>
  <si>
    <t>Ремонт системы отопления муниципальных квартир № 1, № 3, № 5, № 7, № 8, № 10, № 11 жилого дома № 2 по ул. Совхозная в с. Тельвиска МО «Тельвисочный сельсовет» НАО</t>
  </si>
  <si>
    <t>1.2.48</t>
  </si>
  <si>
    <t>1.1.16</t>
  </si>
  <si>
    <t>Приобретение 1-комнатной квартиры в п. Красное МО "Приморско-Куйский сельсовет" НАО</t>
  </si>
  <si>
    <t>Ремонт квартиры № 1 в жилом доме № 14 по ул. Лесная в д. Андег МО «Андегский сельсовет» НАО</t>
  </si>
  <si>
    <t>1.2.49</t>
  </si>
  <si>
    <t>1.2.50</t>
  </si>
  <si>
    <t>Капитальный ремонт жилого дома № 30Б по ул. Пустозерская в с. Тельвиска МО «Тельвисочный сельсовет» НАО</t>
  </si>
  <si>
    <t>количество разработанных проектов по сносу домов</t>
  </si>
  <si>
    <t>1.3.9</t>
  </si>
  <si>
    <r>
      <t xml:space="preserve">Разработка проектов организации работ по сносу домов </t>
    </r>
    <r>
      <rPr>
        <sz val="13"/>
        <color theme="1"/>
        <rFont val="Times New Roman"/>
        <family val="1"/>
        <charset val="204"/>
      </rPr>
      <t>в МО «Тельвисочный сельсовет» НАО</t>
    </r>
  </si>
  <si>
    <t>1.3.10</t>
  </si>
  <si>
    <t>1.3.11</t>
  </si>
  <si>
    <t>Снос ветхого жилого дома № 92 по ул. Центральная в п. Индига (софинансирование в размере 3% стоимости мероприятия)</t>
  </si>
  <si>
    <t>Разработка проекта организации работ по сносу дома № 92 по ул. Центральная в п. Индига</t>
  </si>
  <si>
    <t>1.2.51</t>
  </si>
  <si>
    <t>Капитальный ремонт жилого дома № 31А по ул. Набережная в п. Бугрино МО «Колгуевский сельсовет» НАО</t>
  </si>
  <si>
    <t>Строительство 4 - квартирного жилого дома с разработкой проектной документации в п. Бугрино МО «Колгуевский сельсовет» НАО</t>
  </si>
  <si>
    <t>Приобретение жилых помещений в д. Чижа МО «Канинский сельсовет» Ненецкого автономного округа</t>
  </si>
  <si>
    <t>Строительство 2 - квартирного жилого дома с разработкой проектной документации в п. Бугрино МО «Колгуевский сельсовет» НАО</t>
  </si>
  <si>
    <t>1.2.52</t>
  </si>
  <si>
    <t>2.4.4</t>
  </si>
  <si>
    <t>Подраздел 4. Иные мероприятия</t>
  </si>
  <si>
    <t>Проведение русловой изыскательской съемки Макаровской курьи от устья р. Печора до д. Макарово</t>
  </si>
  <si>
    <t>2.4.4.1</t>
  </si>
  <si>
    <t>3.2.20</t>
  </si>
  <si>
    <t>Поставка, монтаж, наладка и запуск в работу водоочистительного оборудования, устройство канализационного колодца в с. Тельвиска</t>
  </si>
  <si>
    <t>Создание условий для предоставления услуг водным транспортом</t>
  </si>
  <si>
    <t>количество проведенных изыскательских работ с целью введения нового судового хода</t>
  </si>
  <si>
    <t>4.1.23</t>
  </si>
  <si>
    <t>4.1.24</t>
  </si>
  <si>
    <t>Разработка проектной документации на реконструкцию ЛЭП в п. Амдерма</t>
  </si>
  <si>
    <t>Разработка проектной документации на реконструкцию ЛЭП п. Усть-Кара</t>
  </si>
  <si>
    <t>количество разработанных проектов на реконструкцию объектов теплоэнергетики и водоснабжения</t>
  </si>
  <si>
    <t>количество разработанных проектов на реконструкцию объектов электроэнергетики</t>
  </si>
  <si>
    <t>5.10.18</t>
  </si>
  <si>
    <t>Снос ветхого нежилого сооружения по ул. Восточная, д.10 в с. Шойна МО «Шоинский сельсовет» НАО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</si>
  <si>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</si>
  <si>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>5.10.19</t>
  </si>
  <si>
    <t>5.3.3.5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</si>
  <si>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</si>
  <si>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</si>
  <si>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количество созданных площадок накопления твердых коммунальных отходов</t>
  </si>
  <si>
    <t>количество разработанных проектов на ремонт инженерных сооружений</t>
  </si>
  <si>
    <t>Приобретение запасных частей, расходных материалов к специализированной технике и оборудованию</t>
  </si>
  <si>
    <t>количество приобретаемых запасных частей, расходных материалов, аксессуаров к автомобилям, специализированной технике и оборудованию</t>
  </si>
  <si>
    <t>Разработка проектной документации на проведение капитального ремонта моста ТММ-60 в п. Красное</t>
  </si>
  <si>
    <t>количество приобретенного оборудования транспортной инфраструктуры</t>
  </si>
  <si>
    <r>
      <t xml:space="preserve">Приобретение </t>
    </r>
    <r>
      <rPr>
        <sz val="11"/>
        <rFont val="Times New Roman"/>
        <family val="1"/>
        <charset val="204"/>
      </rPr>
      <t xml:space="preserve">и ремонт </t>
    </r>
    <r>
      <rPr>
        <sz val="11"/>
        <color rgb="FF000000"/>
        <rFont val="Times New Roman"/>
        <family val="1"/>
        <charset val="204"/>
      </rPr>
      <t>объектов, оборудования транспортной инфраструктуры</t>
    </r>
  </si>
  <si>
    <t>количество отремонтированных инженерных сооружений общего пользования местного значения</t>
  </si>
  <si>
    <t>площадь участков, освободившихся в результате сноса зданий, сооружений и иных объектов</t>
  </si>
  <si>
    <t>кв.м.</t>
  </si>
  <si>
    <t>количество поставленных детских площадок</t>
  </si>
  <si>
    <t xml:space="preserve">объем вывезенного песка от придомовых территорий </t>
  </si>
  <si>
    <t>куб. м.</t>
  </si>
  <si>
    <t>количество населенных пунктов, в которых проведены мероприятия по предотвращению подтопления паводковыми водами</t>
  </si>
  <si>
    <t>1.2.53</t>
  </si>
  <si>
    <t>количество площадок накопления твердых коммунальных отходов, содержащихся в надлежащем порядке</t>
  </si>
  <si>
    <t>Создание и содержание площадок накопления твердых коммунальных отходов</t>
  </si>
  <si>
    <t>Подготовка земельных участков под строительство жилых домов в с. Оксино</t>
  </si>
  <si>
    <r>
      <t xml:space="preserve">Ремонт </t>
    </r>
    <r>
      <rPr>
        <sz val="11"/>
        <color rgb="FF000000"/>
        <rFont val="Times New Roman"/>
        <family val="1"/>
        <charset val="204"/>
      </rPr>
      <t>узлов прохода вентиляционных труб через кровлю</t>
    </r>
    <r>
      <rPr>
        <sz val="11"/>
        <color theme="1"/>
        <rFont val="Times New Roman"/>
        <family val="1"/>
        <charset val="204"/>
      </rPr>
      <t xml:space="preserve"> в жилом доме № 87А в с. Великовисочное МО «Великовисочный сельсовет» НАО</t>
    </r>
  </si>
  <si>
    <t>Обследование технического состояния фундамента жилого дома № 5А по ул. Полярная с. Тельвиска МО «Тельвисочный сельсовет»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</si>
</sst>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#,##0.0"/>
    <numFmt numFmtId="167" formatCode="0_ ;\-0\ 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trike/>
      <sz val="11"/>
      <color rgb="FF000000"/>
      <name val="Times New Roman"/>
      <family val="1"/>
      <charset val="204"/>
    </font>
    <font>
      <strike/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228">
    <xf numFmtId="0" fontId="0" fillId="0" borderId="0" xfId="0"/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65" fontId="5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vertical="center" wrapText="1"/>
    </xf>
    <xf numFmtId="165" fontId="10" fillId="0" borderId="1" xfId="3" applyNumberFormat="1" applyFont="1" applyFill="1" applyBorder="1" applyAlignment="1">
      <alignment vertical="center" wrapText="1"/>
    </xf>
    <xf numFmtId="165" fontId="9" fillId="0" borderId="1" xfId="3" applyNumberFormat="1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9" fillId="0" borderId="1" xfId="3" applyFont="1" applyFill="1" applyBorder="1" applyAlignment="1">
      <alignment vertical="center" wrapText="1"/>
    </xf>
    <xf numFmtId="0" fontId="9" fillId="0" borderId="2" xfId="3" applyFont="1" applyFill="1" applyBorder="1" applyAlignment="1">
      <alignment vertical="center" wrapText="1"/>
    </xf>
    <xf numFmtId="166" fontId="8" fillId="0" borderId="2" xfId="0" applyNumberFormat="1" applyFont="1" applyFill="1" applyBorder="1" applyAlignment="1">
      <alignment vertical="center" wrapText="1"/>
    </xf>
    <xf numFmtId="166" fontId="8" fillId="0" borderId="4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65" fontId="11" fillId="0" borderId="1" xfId="0" applyNumberFormat="1" applyFont="1" applyFill="1" applyBorder="1" applyAlignment="1">
      <alignment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165" fontId="9" fillId="0" borderId="1" xfId="1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5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9" xfId="3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6" fillId="0" borderId="7" xfId="1" applyNumberFormat="1" applyFont="1" applyFill="1" applyBorder="1" applyAlignment="1">
      <alignment vertical="center" wrapText="1"/>
    </xf>
    <xf numFmtId="168" fontId="11" fillId="0" borderId="1" xfId="0" applyNumberFormat="1" applyFont="1" applyFill="1" applyBorder="1" applyAlignment="1">
      <alignment wrapText="1"/>
    </xf>
    <xf numFmtId="166" fontId="8" fillId="0" borderId="8" xfId="0" applyNumberFormat="1" applyFont="1" applyFill="1" applyBorder="1" applyAlignment="1">
      <alignment vertical="center" wrapText="1"/>
    </xf>
    <xf numFmtId="1" fontId="6" fillId="0" borderId="3" xfId="0" applyNumberFormat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165" fontId="5" fillId="0" borderId="7" xfId="1" applyNumberFormat="1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justify" vertical="top" wrapText="1"/>
    </xf>
    <xf numFmtId="0" fontId="19" fillId="0" borderId="0" xfId="0" applyFont="1" applyFill="1" applyAlignment="1">
      <alignment horizontal="justify" vertical="top" wrapText="1"/>
    </xf>
    <xf numFmtId="0" fontId="20" fillId="0" borderId="0" xfId="0" applyFont="1" applyFill="1" applyAlignment="1">
      <alignment horizontal="justify" vertical="top" wrapText="1"/>
    </xf>
    <xf numFmtId="0" fontId="16" fillId="0" borderId="0" xfId="0" applyFont="1" applyFill="1" applyAlignment="1">
      <alignment horizontal="center" vertical="top" wrapText="1"/>
    </xf>
    <xf numFmtId="0" fontId="6" fillId="0" borderId="0" xfId="5" applyFont="1" applyFill="1" applyBorder="1" applyAlignment="1">
      <alignment horizontal="justify" vertical="top" wrapText="1"/>
    </xf>
    <xf numFmtId="0" fontId="5" fillId="0" borderId="0" xfId="5" applyFont="1" applyFill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5" fontId="5" fillId="0" borderId="0" xfId="5" applyNumberFormat="1" applyFont="1" applyFill="1" applyBorder="1" applyAlignment="1">
      <alignment horizontal="justify" vertical="top" wrapText="1"/>
    </xf>
    <xf numFmtId="167" fontId="7" fillId="0" borderId="1" xfId="5" applyNumberFormat="1" applyFont="1" applyFill="1" applyBorder="1" applyAlignment="1">
      <alignment horizontal="center" vertical="top" wrapText="1"/>
    </xf>
    <xf numFmtId="0" fontId="5" fillId="0" borderId="1" xfId="5" applyFont="1" applyFill="1" applyBorder="1" applyAlignment="1">
      <alignment horizontal="center" vertical="top" wrapText="1"/>
    </xf>
    <xf numFmtId="0" fontId="5" fillId="0" borderId="0" xfId="5" applyFont="1" applyFill="1" applyBorder="1" applyAlignment="1">
      <alignment horizontal="center" vertical="top" wrapText="1"/>
    </xf>
    <xf numFmtId="165" fontId="6" fillId="2" borderId="1" xfId="5" applyNumberFormat="1" applyFont="1" applyFill="1" applyBorder="1" applyAlignment="1">
      <alignment horizontal="left" vertical="top" wrapText="1"/>
    </xf>
    <xf numFmtId="165" fontId="6" fillId="2" borderId="1" xfId="5" applyNumberFormat="1" applyFont="1" applyFill="1" applyBorder="1" applyAlignment="1">
      <alignment horizontal="justify" vertical="top" wrapText="1"/>
    </xf>
    <xf numFmtId="0" fontId="6" fillId="0" borderId="1" xfId="5" applyNumberFormat="1" applyFont="1" applyFill="1" applyBorder="1" applyAlignment="1">
      <alignment horizontal="left" vertical="top" wrapText="1"/>
    </xf>
    <xf numFmtId="165" fontId="6" fillId="0" borderId="1" xfId="5" applyNumberFormat="1" applyFont="1" applyFill="1" applyBorder="1" applyAlignment="1">
      <alignment horizontal="justify" vertical="top" wrapText="1"/>
    </xf>
    <xf numFmtId="165" fontId="6" fillId="0" borderId="1" xfId="5" applyNumberFormat="1" applyFont="1" applyFill="1" applyBorder="1" applyAlignment="1">
      <alignment horizontal="left" vertical="top" wrapText="1"/>
    </xf>
    <xf numFmtId="0" fontId="6" fillId="0" borderId="1" xfId="5" applyNumberFormat="1" applyFont="1" applyFill="1" applyBorder="1" applyAlignment="1">
      <alignment horizontal="justify" vertical="top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17" fillId="0" borderId="16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justify" vertical="center" wrapText="1"/>
    </xf>
    <xf numFmtId="0" fontId="17" fillId="0" borderId="17" xfId="0" applyFont="1" applyFill="1" applyBorder="1" applyAlignment="1">
      <alignment horizontal="justify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justify" vertical="center" wrapText="1"/>
    </xf>
    <xf numFmtId="0" fontId="17" fillId="0" borderId="18" xfId="0" applyFont="1" applyFill="1" applyBorder="1" applyAlignment="1">
      <alignment horizontal="center" vertical="center" wrapText="1"/>
    </xf>
    <xf numFmtId="3" fontId="17" fillId="0" borderId="16" xfId="0" applyNumberFormat="1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justify" vertical="center" wrapText="1"/>
    </xf>
    <xf numFmtId="0" fontId="17" fillId="0" borderId="22" xfId="0" applyFont="1" applyFill="1" applyBorder="1" applyAlignment="1">
      <alignment horizontal="justify" vertical="center" wrapText="1"/>
    </xf>
    <xf numFmtId="0" fontId="17" fillId="0" borderId="22" xfId="0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center"/>
    </xf>
    <xf numFmtId="0" fontId="22" fillId="0" borderId="16" xfId="0" applyFont="1" applyFill="1" applyBorder="1" applyAlignment="1">
      <alignment horizontal="justify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3" fillId="0" borderId="0" xfId="0" applyFont="1" applyFill="1"/>
    <xf numFmtId="0" fontId="17" fillId="0" borderId="0" xfId="0" applyFont="1" applyFill="1" applyBorder="1" applyAlignment="1">
      <alignment horizontal="justify"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20" xfId="0" applyFont="1" applyFill="1" applyBorder="1" applyAlignment="1">
      <alignment horizontal="justify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vertical="center" wrapText="1"/>
      <protection locked="0"/>
    </xf>
    <xf numFmtId="0" fontId="9" fillId="0" borderId="1" xfId="0" applyNumberFormat="1" applyFont="1" applyFill="1" applyBorder="1" applyAlignment="1">
      <alignment wrapText="1"/>
    </xf>
    <xf numFmtId="169" fontId="6" fillId="0" borderId="1" xfId="4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vertical="center"/>
    </xf>
    <xf numFmtId="169" fontId="6" fillId="0" borderId="1" xfId="4" applyNumberFormat="1" applyFont="1" applyFill="1" applyBorder="1" applyAlignment="1">
      <alignment horizontal="right" vertical="center" wrapText="1"/>
    </xf>
    <xf numFmtId="0" fontId="24" fillId="0" borderId="0" xfId="0" applyFont="1" applyFill="1" applyAlignment="1">
      <alignment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justify" vertical="center" wrapText="1"/>
    </xf>
    <xf numFmtId="166" fontId="8" fillId="0" borderId="25" xfId="0" applyNumberFormat="1" applyFont="1" applyFill="1" applyBorder="1" applyAlignment="1">
      <alignment vertical="center" wrapText="1"/>
    </xf>
    <xf numFmtId="170" fontId="6" fillId="0" borderId="1" xfId="0" applyNumberFormat="1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>
      <alignment wrapText="1"/>
    </xf>
    <xf numFmtId="0" fontId="6" fillId="0" borderId="2" xfId="0" applyFont="1" applyFill="1" applyBorder="1" applyAlignment="1">
      <alignment horizontal="justify" vertical="center" wrapText="1"/>
    </xf>
    <xf numFmtId="0" fontId="16" fillId="0" borderId="0" xfId="0" applyFont="1" applyFill="1" applyAlignment="1">
      <alignment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vertical="center"/>
    </xf>
    <xf numFmtId="49" fontId="6" fillId="0" borderId="3" xfId="1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17" fillId="0" borderId="23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justify" vertical="center" wrapText="1"/>
    </xf>
    <xf numFmtId="0" fontId="17" fillId="0" borderId="14" xfId="0" applyFont="1" applyFill="1" applyBorder="1" applyAlignment="1">
      <alignment horizontal="justify" vertical="center" wrapText="1"/>
    </xf>
    <xf numFmtId="0" fontId="17" fillId="0" borderId="23" xfId="0" applyFont="1" applyFill="1" applyBorder="1" applyAlignment="1">
      <alignment vertical="center" wrapText="1"/>
    </xf>
    <xf numFmtId="0" fontId="17" fillId="0" borderId="14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26" fillId="0" borderId="0" xfId="0" applyFont="1" applyFill="1" applyAlignment="1">
      <alignment wrapText="1"/>
    </xf>
    <xf numFmtId="0" fontId="26" fillId="0" borderId="1" xfId="0" applyFont="1" applyFill="1" applyBorder="1" applyAlignment="1">
      <alignment wrapText="1"/>
    </xf>
    <xf numFmtId="0" fontId="25" fillId="0" borderId="0" xfId="0" applyFont="1" applyFill="1" applyAlignment="1">
      <alignment wrapText="1"/>
    </xf>
    <xf numFmtId="168" fontId="17" fillId="0" borderId="16" xfId="0" applyNumberFormat="1" applyFont="1" applyFill="1" applyBorder="1" applyAlignment="1">
      <alignment horizontal="center" vertical="center" wrapText="1"/>
    </xf>
    <xf numFmtId="0" fontId="16" fillId="0" borderId="19" xfId="5" applyFont="1" applyFill="1" applyBorder="1" applyAlignment="1">
      <alignment horizontal="left" vertical="center" wrapText="1"/>
    </xf>
    <xf numFmtId="0" fontId="17" fillId="0" borderId="19" xfId="0" applyFont="1" applyFill="1" applyBorder="1" applyAlignment="1">
      <alignment wrapText="1"/>
    </xf>
    <xf numFmtId="0" fontId="16" fillId="0" borderId="16" xfId="0" applyFont="1" applyFill="1" applyBorder="1" applyAlignment="1">
      <alignment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wrapText="1"/>
    </xf>
    <xf numFmtId="0" fontId="21" fillId="0" borderId="16" xfId="0" applyFont="1" applyFill="1" applyBorder="1" applyAlignment="1">
      <alignment horizontal="justify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justify" vertical="center" wrapText="1"/>
    </xf>
    <xf numFmtId="0" fontId="17" fillId="0" borderId="14" xfId="0" applyFont="1" applyFill="1" applyBorder="1" applyAlignment="1">
      <alignment horizontal="justify" vertical="center" wrapText="1"/>
    </xf>
    <xf numFmtId="0" fontId="17" fillId="0" borderId="23" xfId="0" applyFont="1" applyFill="1" applyBorder="1" applyAlignment="1">
      <alignment vertical="center" wrapText="1"/>
    </xf>
    <xf numFmtId="0" fontId="17" fillId="0" borderId="14" xfId="0" applyFont="1" applyFill="1" applyBorder="1" applyAlignment="1">
      <alignment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10" fillId="0" borderId="4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49" fontId="10" fillId="0" borderId="3" xfId="1" applyNumberFormat="1" applyFont="1" applyFill="1" applyBorder="1" applyAlignment="1">
      <alignment vertical="center" wrapText="1"/>
    </xf>
    <xf numFmtId="166" fontId="13" fillId="0" borderId="4" xfId="0" applyNumberFormat="1" applyFont="1" applyFill="1" applyBorder="1" applyAlignment="1">
      <alignment vertical="center" wrapText="1"/>
    </xf>
    <xf numFmtId="166" fontId="13" fillId="0" borderId="2" xfId="0" applyNumberFormat="1" applyFont="1" applyFill="1" applyBorder="1" applyAlignment="1">
      <alignment vertical="center" wrapText="1"/>
    </xf>
    <xf numFmtId="49" fontId="10" fillId="0" borderId="1" xfId="1" applyNumberFormat="1" applyFont="1" applyFill="1" applyBorder="1" applyAlignment="1">
      <alignment vertical="center" wrapText="1"/>
    </xf>
    <xf numFmtId="166" fontId="13" fillId="0" borderId="3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49" fontId="5" fillId="0" borderId="3" xfId="1" applyNumberFormat="1" applyFont="1" applyFill="1" applyBorder="1" applyAlignment="1">
      <alignment vertical="center" wrapText="1"/>
    </xf>
    <xf numFmtId="49" fontId="5" fillId="0" borderId="4" xfId="1" applyNumberFormat="1" applyFont="1" applyFill="1" applyBorder="1" applyAlignment="1">
      <alignment vertical="center" wrapText="1"/>
    </xf>
    <xf numFmtId="49" fontId="5" fillId="0" borderId="2" xfId="1" applyNumberFormat="1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7" fontId="7" fillId="0" borderId="10" xfId="1" applyNumberFormat="1" applyFont="1" applyFill="1" applyBorder="1" applyAlignment="1">
      <alignment horizontal="center" vertical="center" wrapText="1"/>
    </xf>
    <xf numFmtId="167" fontId="7" fillId="0" borderId="11" xfId="1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0" fontId="5" fillId="0" borderId="0" xfId="5" applyFont="1" applyFill="1" applyBorder="1" applyAlignment="1">
      <alignment horizontal="center" vertical="top" wrapText="1"/>
    </xf>
    <xf numFmtId="0" fontId="5" fillId="0" borderId="7" xfId="5" applyFont="1" applyFill="1" applyBorder="1" applyAlignment="1">
      <alignment horizontal="center" vertical="top" wrapText="1"/>
    </xf>
    <xf numFmtId="0" fontId="5" fillId="0" borderId="12" xfId="5" applyFont="1" applyFill="1" applyBorder="1" applyAlignment="1">
      <alignment horizontal="center" vertical="top" wrapText="1"/>
    </xf>
    <xf numFmtId="0" fontId="5" fillId="0" borderId="5" xfId="5" applyFont="1" applyFill="1" applyBorder="1" applyAlignment="1">
      <alignment horizontal="center" vertical="top" wrapText="1"/>
    </xf>
    <xf numFmtId="167" fontId="7" fillId="0" borderId="7" xfId="5" applyNumberFormat="1" applyFont="1" applyFill="1" applyBorder="1" applyAlignment="1">
      <alignment horizontal="center" vertical="top" wrapText="1"/>
    </xf>
    <xf numFmtId="167" fontId="7" fillId="0" borderId="12" xfId="5" applyNumberFormat="1" applyFont="1" applyFill="1" applyBorder="1" applyAlignment="1">
      <alignment horizontal="center" vertical="top" wrapText="1"/>
    </xf>
    <xf numFmtId="167" fontId="7" fillId="0" borderId="5" xfId="5" applyNumberFormat="1" applyFont="1" applyFill="1" applyBorder="1" applyAlignment="1">
      <alignment horizontal="center" vertical="top" wrapText="1"/>
    </xf>
    <xf numFmtId="167" fontId="7" fillId="0" borderId="1" xfId="5" applyNumberFormat="1" applyFont="1" applyFill="1" applyBorder="1" applyAlignment="1">
      <alignment horizontal="center" vertical="top" wrapText="1"/>
    </xf>
    <xf numFmtId="0" fontId="6" fillId="2" borderId="7" xfId="5" applyNumberFormat="1" applyFont="1" applyFill="1" applyBorder="1" applyAlignment="1">
      <alignment horizontal="center" vertical="top" wrapText="1"/>
    </xf>
    <xf numFmtId="0" fontId="6" fillId="2" borderId="12" xfId="5" applyNumberFormat="1" applyFont="1" applyFill="1" applyBorder="1" applyAlignment="1">
      <alignment horizontal="center" vertical="top" wrapText="1"/>
    </xf>
    <xf numFmtId="0" fontId="6" fillId="2" borderId="5" xfId="5" applyNumberFormat="1" applyFont="1" applyFill="1" applyBorder="1" applyAlignment="1">
      <alignment horizontal="center" vertical="top" wrapText="1"/>
    </xf>
    <xf numFmtId="0" fontId="5" fillId="2" borderId="7" xfId="5" applyNumberFormat="1" applyFont="1" applyFill="1" applyBorder="1" applyAlignment="1">
      <alignment horizontal="center" vertical="top" wrapText="1"/>
    </xf>
    <xf numFmtId="0" fontId="5" fillId="2" borderId="12" xfId="5" applyNumberFormat="1" applyFont="1" applyFill="1" applyBorder="1" applyAlignment="1">
      <alignment horizontal="center" vertical="top" wrapText="1"/>
    </xf>
    <xf numFmtId="0" fontId="5" fillId="2" borderId="5" xfId="5" applyNumberFormat="1" applyFont="1" applyFill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2 4" xfId="6"/>
    <cellStyle name="Обычный 3" xfId="3"/>
    <cellStyle name="Финансовый" xfId="4" builtin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J93"/>
  <sheetViews>
    <sheetView workbookViewId="0">
      <selection activeCell="A91" sqref="A91:A92"/>
    </sheetView>
  </sheetViews>
  <sheetFormatPr defaultRowHeight="15" x14ac:dyDescent="0.25"/>
  <cols>
    <col min="1" max="1" width="30.140625" style="80" customWidth="1"/>
    <col min="2" max="2" width="31.28515625" style="80" customWidth="1"/>
    <col min="3" max="3" width="13.28515625" style="80" customWidth="1"/>
    <col min="4" max="4" width="16.85546875" style="80" customWidth="1"/>
    <col min="5" max="9" width="9.140625" style="80"/>
    <col min="10" max="10" width="9.42578125" style="80" customWidth="1"/>
    <col min="11" max="16384" width="9.140625" style="80"/>
  </cols>
  <sheetData>
    <row r="1" spans="1:10" ht="60" customHeight="1" x14ac:dyDescent="0.25">
      <c r="A1" s="79"/>
      <c r="B1" s="79"/>
      <c r="C1" s="79"/>
      <c r="D1" s="79"/>
      <c r="E1" s="155" t="s">
        <v>698</v>
      </c>
      <c r="F1" s="155"/>
      <c r="G1" s="155"/>
      <c r="H1" s="155"/>
      <c r="I1" s="155"/>
      <c r="J1" s="155"/>
    </row>
    <row r="2" spans="1:10" ht="60" customHeight="1" thickBot="1" x14ac:dyDescent="0.3">
      <c r="A2" s="161" t="s">
        <v>699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99" customHeight="1" thickBot="1" x14ac:dyDescent="0.3">
      <c r="A3" s="156" t="s">
        <v>632</v>
      </c>
      <c r="B3" s="156" t="s">
        <v>633</v>
      </c>
      <c r="C3" s="156" t="s">
        <v>634</v>
      </c>
      <c r="D3" s="156" t="s">
        <v>741</v>
      </c>
      <c r="E3" s="158" t="s">
        <v>700</v>
      </c>
      <c r="F3" s="159"/>
      <c r="G3" s="159"/>
      <c r="H3" s="159"/>
      <c r="I3" s="159"/>
      <c r="J3" s="160"/>
    </row>
    <row r="4" spans="1:10" ht="29.25" thickBot="1" x14ac:dyDescent="0.3">
      <c r="A4" s="157"/>
      <c r="B4" s="157"/>
      <c r="C4" s="157"/>
      <c r="D4" s="157"/>
      <c r="E4" s="135" t="s">
        <v>9</v>
      </c>
      <c r="F4" s="135" t="s">
        <v>10</v>
      </c>
      <c r="G4" s="135" t="s">
        <v>11</v>
      </c>
      <c r="H4" s="135" t="s">
        <v>401</v>
      </c>
      <c r="I4" s="135" t="s">
        <v>402</v>
      </c>
      <c r="J4" s="135" t="s">
        <v>403</v>
      </c>
    </row>
    <row r="5" spans="1:10" ht="42.75" customHeight="1" thickBot="1" x14ac:dyDescent="0.3">
      <c r="A5" s="158" t="s">
        <v>635</v>
      </c>
      <c r="B5" s="159"/>
      <c r="C5" s="159"/>
      <c r="D5" s="159"/>
      <c r="E5" s="159"/>
      <c r="F5" s="159"/>
      <c r="G5" s="159"/>
      <c r="H5" s="159"/>
      <c r="I5" s="159"/>
      <c r="J5" s="160"/>
    </row>
    <row r="6" spans="1:10" ht="45.75" thickBot="1" x14ac:dyDescent="0.3">
      <c r="A6" s="165" t="s">
        <v>587</v>
      </c>
      <c r="B6" s="81" t="s">
        <v>588</v>
      </c>
      <c r="C6" s="82" t="s">
        <v>636</v>
      </c>
      <c r="D6" s="82">
        <v>1.4</v>
      </c>
      <c r="E6" s="82">
        <v>2.6</v>
      </c>
      <c r="F6" s="82">
        <v>0.4</v>
      </c>
      <c r="G6" s="143">
        <v>1.1000000000000001</v>
      </c>
      <c r="H6" s="82">
        <v>0.8</v>
      </c>
      <c r="I6" s="82">
        <v>0.2</v>
      </c>
      <c r="J6" s="82">
        <v>0</v>
      </c>
    </row>
    <row r="7" spans="1:10" ht="30.75" thickBot="1" x14ac:dyDescent="0.3">
      <c r="A7" s="166"/>
      <c r="B7" s="81" t="s">
        <v>589</v>
      </c>
      <c r="C7" s="82" t="s">
        <v>637</v>
      </c>
      <c r="D7" s="82">
        <v>22</v>
      </c>
      <c r="E7" s="82">
        <v>36</v>
      </c>
      <c r="F7" s="82">
        <v>5</v>
      </c>
      <c r="G7" s="82">
        <v>16</v>
      </c>
      <c r="H7" s="82">
        <v>10</v>
      </c>
      <c r="I7" s="82">
        <v>2</v>
      </c>
      <c r="J7" s="82">
        <v>0</v>
      </c>
    </row>
    <row r="8" spans="1:10" ht="60.75" customHeight="1" thickBot="1" x14ac:dyDescent="0.3">
      <c r="A8" s="100" t="s">
        <v>590</v>
      </c>
      <c r="B8" s="81" t="s">
        <v>591</v>
      </c>
      <c r="C8" s="82" t="s">
        <v>638</v>
      </c>
      <c r="D8" s="82">
        <v>14</v>
      </c>
      <c r="E8" s="82">
        <v>23</v>
      </c>
      <c r="F8" s="82">
        <v>15</v>
      </c>
      <c r="G8" s="82">
        <v>19</v>
      </c>
      <c r="H8" s="82">
        <v>1</v>
      </c>
      <c r="I8" s="82">
        <v>0</v>
      </c>
      <c r="J8" s="82">
        <v>0</v>
      </c>
    </row>
    <row r="9" spans="1:10" ht="75.75" thickBot="1" x14ac:dyDescent="0.3">
      <c r="A9" s="152" t="s">
        <v>894</v>
      </c>
      <c r="B9" s="81" t="s">
        <v>754</v>
      </c>
      <c r="C9" s="82" t="s">
        <v>638</v>
      </c>
      <c r="D9" s="82">
        <v>0</v>
      </c>
      <c r="E9" s="82">
        <v>0</v>
      </c>
      <c r="F9" s="82">
        <v>87</v>
      </c>
      <c r="G9" s="82">
        <v>0</v>
      </c>
      <c r="H9" s="82">
        <v>0</v>
      </c>
      <c r="I9" s="82">
        <v>0</v>
      </c>
      <c r="J9" s="82">
        <v>0</v>
      </c>
    </row>
    <row r="10" spans="1:10" ht="45.75" thickBot="1" x14ac:dyDescent="0.3">
      <c r="A10" s="154"/>
      <c r="B10" s="81" t="s">
        <v>755</v>
      </c>
      <c r="C10" s="82" t="s">
        <v>756</v>
      </c>
      <c r="D10" s="82">
        <v>0</v>
      </c>
      <c r="E10" s="82">
        <v>2</v>
      </c>
      <c r="F10" s="82">
        <v>4</v>
      </c>
      <c r="G10" s="82">
        <v>2</v>
      </c>
      <c r="H10" s="82">
        <v>0</v>
      </c>
      <c r="I10" s="82">
        <v>0</v>
      </c>
      <c r="J10" s="82">
        <v>0</v>
      </c>
    </row>
    <row r="11" spans="1:10" ht="45.75" thickBot="1" x14ac:dyDescent="0.3">
      <c r="A11" s="153"/>
      <c r="B11" s="81" t="s">
        <v>886</v>
      </c>
      <c r="C11" s="82" t="s">
        <v>756</v>
      </c>
      <c r="D11" s="82">
        <v>0</v>
      </c>
      <c r="E11" s="82">
        <v>0</v>
      </c>
      <c r="F11" s="82">
        <v>0</v>
      </c>
      <c r="G11" s="82">
        <v>1</v>
      </c>
      <c r="H11" s="82">
        <v>0</v>
      </c>
      <c r="I11" s="82">
        <v>0</v>
      </c>
      <c r="J11" s="82">
        <v>0</v>
      </c>
    </row>
    <row r="12" spans="1:10" ht="75.75" thickBot="1" x14ac:dyDescent="0.3">
      <c r="A12" s="152" t="s">
        <v>592</v>
      </c>
      <c r="B12" s="81" t="s">
        <v>593</v>
      </c>
      <c r="C12" s="82" t="s">
        <v>639</v>
      </c>
      <c r="D12" s="82">
        <v>3.15</v>
      </c>
      <c r="E12" s="82">
        <v>0.68</v>
      </c>
      <c r="F12" s="82">
        <v>0.8</v>
      </c>
      <c r="G12" s="82">
        <v>0.3</v>
      </c>
      <c r="H12" s="82">
        <v>0</v>
      </c>
      <c r="I12" s="82">
        <v>0</v>
      </c>
      <c r="J12" s="82">
        <v>0</v>
      </c>
    </row>
    <row r="13" spans="1:10" ht="30.75" thickBot="1" x14ac:dyDescent="0.3">
      <c r="A13" s="153"/>
      <c r="B13" s="144" t="s">
        <v>972</v>
      </c>
      <c r="C13" s="82" t="s">
        <v>756</v>
      </c>
      <c r="D13" s="82">
        <v>0</v>
      </c>
      <c r="E13" s="82">
        <v>0</v>
      </c>
      <c r="F13" s="82">
        <v>0</v>
      </c>
      <c r="G13" s="82">
        <v>6</v>
      </c>
      <c r="H13" s="82">
        <v>0</v>
      </c>
      <c r="I13" s="82">
        <v>0</v>
      </c>
      <c r="J13" s="82">
        <v>0</v>
      </c>
    </row>
    <row r="14" spans="1:10" ht="60.75" thickBot="1" x14ac:dyDescent="0.3">
      <c r="A14" s="152" t="s">
        <v>944</v>
      </c>
      <c r="B14" s="81" t="s">
        <v>640</v>
      </c>
      <c r="C14" s="82" t="s">
        <v>639</v>
      </c>
      <c r="D14" s="82">
        <v>0</v>
      </c>
      <c r="E14" s="82">
        <v>1.5</v>
      </c>
      <c r="F14" s="82">
        <v>0</v>
      </c>
      <c r="G14" s="82">
        <v>0</v>
      </c>
      <c r="H14" s="82">
        <v>0</v>
      </c>
      <c r="I14" s="82">
        <v>0</v>
      </c>
      <c r="J14" s="82">
        <v>0</v>
      </c>
    </row>
    <row r="15" spans="1:10" ht="45.75" thickBot="1" x14ac:dyDescent="0.3">
      <c r="A15" s="153"/>
      <c r="B15" s="81" t="s">
        <v>943</v>
      </c>
      <c r="C15" s="82" t="s">
        <v>756</v>
      </c>
      <c r="D15" s="82">
        <v>0</v>
      </c>
      <c r="E15" s="82">
        <v>0</v>
      </c>
      <c r="F15" s="82">
        <v>0</v>
      </c>
      <c r="G15" s="82">
        <v>1</v>
      </c>
      <c r="H15" s="82">
        <v>0</v>
      </c>
      <c r="I15" s="82">
        <v>0</v>
      </c>
      <c r="J15" s="82">
        <v>0</v>
      </c>
    </row>
    <row r="16" spans="1:10" ht="120.75" thickBot="1" x14ac:dyDescent="0.3">
      <c r="A16" s="132" t="s">
        <v>641</v>
      </c>
      <c r="B16" s="81" t="s">
        <v>642</v>
      </c>
      <c r="C16" s="82" t="s">
        <v>594</v>
      </c>
      <c r="D16" s="82">
        <v>0</v>
      </c>
      <c r="E16" s="82">
        <v>3</v>
      </c>
      <c r="F16" s="82">
        <v>15</v>
      </c>
      <c r="G16" s="82">
        <v>0</v>
      </c>
      <c r="H16" s="82">
        <v>0</v>
      </c>
      <c r="I16" s="82">
        <v>0</v>
      </c>
      <c r="J16" s="82">
        <v>0</v>
      </c>
    </row>
    <row r="17" spans="1:10" ht="28.5" customHeight="1" thickBot="1" x14ac:dyDescent="0.3">
      <c r="A17" s="158" t="s">
        <v>643</v>
      </c>
      <c r="B17" s="159"/>
      <c r="C17" s="159"/>
      <c r="D17" s="159"/>
      <c r="E17" s="159"/>
      <c r="F17" s="159"/>
      <c r="G17" s="159"/>
      <c r="H17" s="159"/>
      <c r="I17" s="159"/>
      <c r="J17" s="160"/>
    </row>
    <row r="18" spans="1:10" ht="60.75" thickBot="1" x14ac:dyDescent="0.3">
      <c r="A18" s="134" t="s">
        <v>644</v>
      </c>
      <c r="B18" s="83" t="s">
        <v>645</v>
      </c>
      <c r="C18" s="82" t="s">
        <v>638</v>
      </c>
      <c r="D18" s="82">
        <v>46</v>
      </c>
      <c r="E18" s="82">
        <v>46</v>
      </c>
      <c r="F18" s="82">
        <v>46</v>
      </c>
      <c r="G18" s="82">
        <v>46</v>
      </c>
      <c r="H18" s="82">
        <v>46</v>
      </c>
      <c r="I18" s="82">
        <v>46</v>
      </c>
      <c r="J18" s="82">
        <v>46</v>
      </c>
    </row>
    <row r="19" spans="1:10" ht="60.75" thickBot="1" x14ac:dyDescent="0.3">
      <c r="A19" s="134" t="s">
        <v>595</v>
      </c>
      <c r="B19" s="83" t="s">
        <v>646</v>
      </c>
      <c r="C19" s="82" t="s">
        <v>638</v>
      </c>
      <c r="D19" s="82">
        <v>3</v>
      </c>
      <c r="E19" s="82">
        <v>3</v>
      </c>
      <c r="F19" s="82">
        <v>3</v>
      </c>
      <c r="G19" s="82">
        <v>3</v>
      </c>
      <c r="H19" s="82">
        <v>3</v>
      </c>
      <c r="I19" s="82">
        <v>3</v>
      </c>
      <c r="J19" s="82">
        <v>3</v>
      </c>
    </row>
    <row r="20" spans="1:10" ht="120.75" thickBot="1" x14ac:dyDescent="0.3">
      <c r="A20" s="134" t="s">
        <v>596</v>
      </c>
      <c r="B20" s="83" t="s">
        <v>647</v>
      </c>
      <c r="C20" s="82" t="s">
        <v>638</v>
      </c>
      <c r="D20" s="82">
        <v>34</v>
      </c>
      <c r="E20" s="82">
        <v>46</v>
      </c>
      <c r="F20" s="82">
        <v>53</v>
      </c>
      <c r="G20" s="82">
        <v>53</v>
      </c>
      <c r="H20" s="82">
        <v>53</v>
      </c>
      <c r="I20" s="82">
        <v>53</v>
      </c>
      <c r="J20" s="82">
        <v>53</v>
      </c>
    </row>
    <row r="21" spans="1:10" ht="45.75" thickBot="1" x14ac:dyDescent="0.3">
      <c r="A21" s="134" t="s">
        <v>597</v>
      </c>
      <c r="B21" s="83" t="s">
        <v>648</v>
      </c>
      <c r="C21" s="82" t="s">
        <v>638</v>
      </c>
      <c r="D21" s="82">
        <v>1</v>
      </c>
      <c r="E21" s="82">
        <v>1</v>
      </c>
      <c r="F21" s="82">
        <v>0</v>
      </c>
      <c r="G21" s="82">
        <v>2</v>
      </c>
      <c r="H21" s="82">
        <v>0</v>
      </c>
      <c r="I21" s="82">
        <v>0</v>
      </c>
      <c r="J21" s="82">
        <v>0</v>
      </c>
    </row>
    <row r="22" spans="1:10" ht="60.75" thickBot="1" x14ac:dyDescent="0.3">
      <c r="A22" s="134" t="s">
        <v>598</v>
      </c>
      <c r="B22" s="83" t="s">
        <v>599</v>
      </c>
      <c r="C22" s="82" t="s">
        <v>600</v>
      </c>
      <c r="D22" s="82">
        <v>0</v>
      </c>
      <c r="E22" s="82">
        <v>100</v>
      </c>
      <c r="F22" s="82">
        <v>100</v>
      </c>
      <c r="G22" s="82">
        <v>0</v>
      </c>
      <c r="H22" s="82">
        <v>0</v>
      </c>
      <c r="I22" s="82">
        <v>0</v>
      </c>
      <c r="J22" s="82">
        <v>0</v>
      </c>
    </row>
    <row r="23" spans="1:10" ht="45.75" thickBot="1" x14ac:dyDescent="0.3">
      <c r="A23" s="152" t="s">
        <v>1012</v>
      </c>
      <c r="B23" s="83" t="s">
        <v>947</v>
      </c>
      <c r="C23" s="82" t="s">
        <v>608</v>
      </c>
      <c r="D23" s="82">
        <v>0</v>
      </c>
      <c r="E23" s="82">
        <v>4</v>
      </c>
      <c r="F23" s="82">
        <v>1</v>
      </c>
      <c r="G23" s="82">
        <v>2</v>
      </c>
      <c r="H23" s="82">
        <v>0</v>
      </c>
      <c r="I23" s="82">
        <v>0</v>
      </c>
      <c r="J23" s="82">
        <v>0</v>
      </c>
    </row>
    <row r="24" spans="1:10" ht="45.75" thickBot="1" x14ac:dyDescent="0.3">
      <c r="A24" s="153"/>
      <c r="B24" s="83" t="s">
        <v>1011</v>
      </c>
      <c r="C24" s="82" t="s">
        <v>756</v>
      </c>
      <c r="D24" s="82">
        <v>0</v>
      </c>
      <c r="E24" s="82">
        <v>0</v>
      </c>
      <c r="F24" s="82">
        <v>0</v>
      </c>
      <c r="G24" s="82">
        <v>1</v>
      </c>
      <c r="H24" s="82">
        <v>0</v>
      </c>
      <c r="I24" s="82">
        <v>0</v>
      </c>
      <c r="J24" s="82">
        <v>0</v>
      </c>
    </row>
    <row r="25" spans="1:10" ht="75.75" thickBot="1" x14ac:dyDescent="0.3">
      <c r="A25" s="89" t="s">
        <v>649</v>
      </c>
      <c r="B25" s="83" t="s">
        <v>650</v>
      </c>
      <c r="C25" s="82" t="s">
        <v>600</v>
      </c>
      <c r="D25" s="82">
        <v>72</v>
      </c>
      <c r="E25" s="82">
        <v>46.3</v>
      </c>
      <c r="F25" s="82">
        <v>46.3</v>
      </c>
      <c r="G25" s="82">
        <v>46.3</v>
      </c>
      <c r="H25" s="82">
        <v>46.3</v>
      </c>
      <c r="I25" s="82">
        <v>46.3</v>
      </c>
      <c r="J25" s="82">
        <v>46.3</v>
      </c>
    </row>
    <row r="26" spans="1:10" ht="45.75" thickBot="1" x14ac:dyDescent="0.3">
      <c r="A26" s="89" t="s">
        <v>991</v>
      </c>
      <c r="B26" s="83" t="s">
        <v>992</v>
      </c>
      <c r="C26" s="82" t="s">
        <v>756</v>
      </c>
      <c r="D26" s="82">
        <v>0</v>
      </c>
      <c r="E26" s="82">
        <v>0</v>
      </c>
      <c r="F26" s="82">
        <v>0</v>
      </c>
      <c r="G26" s="82">
        <v>1</v>
      </c>
      <c r="H26" s="82">
        <v>0</v>
      </c>
      <c r="I26" s="82">
        <v>0</v>
      </c>
      <c r="J26" s="82">
        <v>0</v>
      </c>
    </row>
    <row r="27" spans="1:10" ht="75.75" customHeight="1" thickBot="1" x14ac:dyDescent="0.3">
      <c r="A27" s="154" t="s">
        <v>831</v>
      </c>
      <c r="B27" s="83" t="s">
        <v>651</v>
      </c>
      <c r="C27" s="82" t="s">
        <v>608</v>
      </c>
      <c r="D27" s="82">
        <v>7</v>
      </c>
      <c r="E27" s="82">
        <v>3</v>
      </c>
      <c r="F27" s="82">
        <v>0</v>
      </c>
      <c r="G27" s="82">
        <v>4</v>
      </c>
      <c r="H27" s="82">
        <v>0</v>
      </c>
      <c r="I27" s="82">
        <v>0</v>
      </c>
      <c r="J27" s="82">
        <v>0</v>
      </c>
    </row>
    <row r="28" spans="1:10" s="98" customFormat="1" ht="29.25" hidden="1" customHeight="1" thickBot="1" x14ac:dyDescent="0.3">
      <c r="A28" s="154"/>
      <c r="B28" s="96" t="s">
        <v>652</v>
      </c>
      <c r="C28" s="97" t="s">
        <v>638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</row>
    <row r="29" spans="1:10" s="98" customFormat="1" ht="45.75" thickBot="1" x14ac:dyDescent="0.3">
      <c r="A29" s="153"/>
      <c r="B29" s="83" t="s">
        <v>892</v>
      </c>
      <c r="C29" s="82" t="s">
        <v>608</v>
      </c>
      <c r="D29" s="82">
        <v>0</v>
      </c>
      <c r="E29" s="82">
        <v>0</v>
      </c>
      <c r="F29" s="82">
        <v>0</v>
      </c>
      <c r="G29" s="82">
        <v>1</v>
      </c>
      <c r="H29" s="82">
        <v>0</v>
      </c>
      <c r="I29" s="82">
        <v>0</v>
      </c>
      <c r="J29" s="82">
        <v>0</v>
      </c>
    </row>
    <row r="30" spans="1:10" ht="75.75" thickBot="1" x14ac:dyDescent="0.3">
      <c r="A30" s="132" t="s">
        <v>601</v>
      </c>
      <c r="B30" s="83" t="s">
        <v>602</v>
      </c>
      <c r="C30" s="82" t="s">
        <v>600</v>
      </c>
      <c r="D30" s="82">
        <v>0</v>
      </c>
      <c r="E30" s="82">
        <v>22.2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</row>
    <row r="31" spans="1:10" ht="75.75" thickBot="1" x14ac:dyDescent="0.3">
      <c r="A31" s="133" t="s">
        <v>829</v>
      </c>
      <c r="B31" s="84" t="s">
        <v>603</v>
      </c>
      <c r="C31" s="85" t="s">
        <v>653</v>
      </c>
      <c r="D31" s="94">
        <v>0</v>
      </c>
      <c r="E31" s="91">
        <v>1.5</v>
      </c>
      <c r="F31" s="91">
        <v>0</v>
      </c>
      <c r="G31" s="91">
        <v>0.03</v>
      </c>
      <c r="H31" s="91">
        <v>0</v>
      </c>
      <c r="I31" s="91">
        <v>0</v>
      </c>
      <c r="J31" s="91">
        <v>0</v>
      </c>
    </row>
    <row r="32" spans="1:10" ht="60.75" thickBot="1" x14ac:dyDescent="0.3">
      <c r="A32" s="89" t="s">
        <v>766</v>
      </c>
      <c r="B32" s="101" t="s">
        <v>765</v>
      </c>
      <c r="C32" s="94" t="s">
        <v>764</v>
      </c>
      <c r="D32" s="94">
        <v>0</v>
      </c>
      <c r="E32" s="94">
        <v>0</v>
      </c>
      <c r="F32" s="94">
        <v>0</v>
      </c>
      <c r="G32" s="94">
        <v>14696</v>
      </c>
      <c r="H32" s="94">
        <v>0</v>
      </c>
      <c r="I32" s="94">
        <v>0</v>
      </c>
      <c r="J32" s="94">
        <v>0</v>
      </c>
    </row>
    <row r="33" spans="1:10" ht="28.5" customHeight="1" thickBot="1" x14ac:dyDescent="0.3">
      <c r="A33" s="167" t="s">
        <v>654</v>
      </c>
      <c r="B33" s="161"/>
      <c r="C33" s="161"/>
      <c r="D33" s="161"/>
      <c r="E33" s="161"/>
      <c r="F33" s="161"/>
      <c r="G33" s="161"/>
      <c r="H33" s="161"/>
      <c r="I33" s="161"/>
      <c r="J33" s="168"/>
    </row>
    <row r="34" spans="1:10" ht="30.75" thickBot="1" x14ac:dyDescent="0.3">
      <c r="A34" s="162" t="s">
        <v>655</v>
      </c>
      <c r="B34" s="83" t="s">
        <v>604</v>
      </c>
      <c r="C34" s="82" t="s">
        <v>656</v>
      </c>
      <c r="D34" s="82">
        <v>243</v>
      </c>
      <c r="E34" s="82">
        <v>308</v>
      </c>
      <c r="F34" s="82">
        <v>308</v>
      </c>
      <c r="G34" s="82">
        <v>251</v>
      </c>
      <c r="H34" s="82">
        <v>0</v>
      </c>
      <c r="I34" s="82">
        <v>0</v>
      </c>
      <c r="J34" s="82">
        <v>0</v>
      </c>
    </row>
    <row r="35" spans="1:10" ht="120.75" thickBot="1" x14ac:dyDescent="0.3">
      <c r="A35" s="163"/>
      <c r="B35" s="81" t="s">
        <v>657</v>
      </c>
      <c r="C35" s="82" t="s">
        <v>600</v>
      </c>
      <c r="D35" s="82">
        <v>0</v>
      </c>
      <c r="E35" s="82">
        <v>44</v>
      </c>
      <c r="F35" s="82">
        <v>44</v>
      </c>
      <c r="G35" s="82">
        <v>70</v>
      </c>
      <c r="H35" s="82">
        <v>0</v>
      </c>
      <c r="I35" s="82">
        <v>0</v>
      </c>
      <c r="J35" s="82">
        <v>0</v>
      </c>
    </row>
    <row r="36" spans="1:10" ht="120.75" thickBot="1" x14ac:dyDescent="0.3">
      <c r="A36" s="164"/>
      <c r="B36" s="81" t="s">
        <v>658</v>
      </c>
      <c r="C36" s="82" t="s">
        <v>600</v>
      </c>
      <c r="D36" s="82">
        <v>0</v>
      </c>
      <c r="E36" s="82">
        <v>57</v>
      </c>
      <c r="F36" s="82">
        <v>57</v>
      </c>
      <c r="G36" s="82">
        <v>70</v>
      </c>
      <c r="H36" s="82">
        <v>0</v>
      </c>
      <c r="I36" s="82">
        <v>0</v>
      </c>
      <c r="J36" s="82">
        <v>0</v>
      </c>
    </row>
    <row r="37" spans="1:10" ht="45.75" thickBot="1" x14ac:dyDescent="0.3">
      <c r="A37" s="132" t="s">
        <v>605</v>
      </c>
      <c r="B37" s="83" t="s">
        <v>606</v>
      </c>
      <c r="C37" s="82" t="s">
        <v>638</v>
      </c>
      <c r="D37" s="82">
        <v>1</v>
      </c>
      <c r="E37" s="82">
        <v>0</v>
      </c>
      <c r="F37" s="82">
        <v>0</v>
      </c>
      <c r="G37" s="82">
        <v>2</v>
      </c>
      <c r="H37" s="82">
        <v>0</v>
      </c>
      <c r="I37" s="82">
        <v>0</v>
      </c>
      <c r="J37" s="82">
        <v>0</v>
      </c>
    </row>
    <row r="38" spans="1:10" ht="30.75" thickBot="1" x14ac:dyDescent="0.3">
      <c r="A38" s="132" t="s">
        <v>607</v>
      </c>
      <c r="B38" s="83" t="s">
        <v>659</v>
      </c>
      <c r="C38" s="82" t="s">
        <v>638</v>
      </c>
      <c r="D38" s="82">
        <v>0</v>
      </c>
      <c r="E38" s="82">
        <v>0</v>
      </c>
      <c r="F38" s="82">
        <v>0</v>
      </c>
      <c r="G38" s="82">
        <v>1</v>
      </c>
      <c r="H38" s="82">
        <v>0</v>
      </c>
      <c r="I38" s="82">
        <v>0</v>
      </c>
      <c r="J38" s="82">
        <v>0</v>
      </c>
    </row>
    <row r="39" spans="1:10" ht="45.75" thickBot="1" x14ac:dyDescent="0.3">
      <c r="A39" s="130" t="s">
        <v>660</v>
      </c>
      <c r="B39" s="83" t="s">
        <v>661</v>
      </c>
      <c r="C39" s="82" t="s">
        <v>600</v>
      </c>
      <c r="D39" s="82">
        <v>0</v>
      </c>
      <c r="E39" s="82">
        <v>53</v>
      </c>
      <c r="F39" s="82">
        <v>62.4</v>
      </c>
      <c r="G39" s="82">
        <v>77.099999999999994</v>
      </c>
      <c r="H39" s="82">
        <v>77.099999999999994</v>
      </c>
      <c r="I39" s="82">
        <v>80.2</v>
      </c>
      <c r="J39" s="82">
        <v>0</v>
      </c>
    </row>
    <row r="40" spans="1:10" ht="28.5" customHeight="1" thickBot="1" x14ac:dyDescent="0.3">
      <c r="A40" s="158" t="s">
        <v>662</v>
      </c>
      <c r="B40" s="159"/>
      <c r="C40" s="159"/>
      <c r="D40" s="159"/>
      <c r="E40" s="159"/>
      <c r="F40" s="159"/>
      <c r="G40" s="159"/>
      <c r="H40" s="159"/>
      <c r="I40" s="159"/>
      <c r="J40" s="160"/>
    </row>
    <row r="41" spans="1:10" ht="60.75" thickBot="1" x14ac:dyDescent="0.3">
      <c r="A41" s="162" t="s">
        <v>663</v>
      </c>
      <c r="B41" s="84" t="s">
        <v>833</v>
      </c>
      <c r="C41" s="85" t="s">
        <v>653</v>
      </c>
      <c r="D41" s="85">
        <v>16.100000000000001</v>
      </c>
      <c r="E41" s="85">
        <v>18.8</v>
      </c>
      <c r="F41" s="85">
        <v>33.5</v>
      </c>
      <c r="G41" s="85">
        <v>4.5</v>
      </c>
      <c r="H41" s="85">
        <v>0</v>
      </c>
      <c r="I41" s="85">
        <v>0</v>
      </c>
      <c r="J41" s="85">
        <v>0</v>
      </c>
    </row>
    <row r="42" spans="1:10" ht="75.75" thickBot="1" x14ac:dyDescent="0.3">
      <c r="A42" s="163"/>
      <c r="B42" s="86" t="s">
        <v>664</v>
      </c>
      <c r="C42" s="87" t="s">
        <v>608</v>
      </c>
      <c r="D42" s="87">
        <v>0</v>
      </c>
      <c r="E42" s="87">
        <v>1</v>
      </c>
      <c r="F42" s="87">
        <v>0</v>
      </c>
      <c r="G42" s="87">
        <v>0</v>
      </c>
      <c r="H42" s="87">
        <v>0</v>
      </c>
      <c r="I42" s="87">
        <v>0</v>
      </c>
      <c r="J42" s="87">
        <v>0</v>
      </c>
    </row>
    <row r="43" spans="1:10" ht="60.75" thickBot="1" x14ac:dyDescent="0.3">
      <c r="A43" s="163"/>
      <c r="B43" s="86" t="s">
        <v>997</v>
      </c>
      <c r="C43" s="87" t="s">
        <v>665</v>
      </c>
      <c r="D43" s="87">
        <v>3</v>
      </c>
      <c r="E43" s="87">
        <v>2</v>
      </c>
      <c r="F43" s="87">
        <v>4</v>
      </c>
      <c r="G43" s="87">
        <v>2</v>
      </c>
      <c r="H43" s="87">
        <v>0</v>
      </c>
      <c r="I43" s="87">
        <v>0</v>
      </c>
      <c r="J43" s="87">
        <v>0</v>
      </c>
    </row>
    <row r="44" spans="1:10" ht="45.75" thickBot="1" x14ac:dyDescent="0.3">
      <c r="A44" s="163"/>
      <c r="B44" s="86" t="s">
        <v>998</v>
      </c>
      <c r="C44" s="87" t="s">
        <v>665</v>
      </c>
      <c r="D44" s="87">
        <v>0</v>
      </c>
      <c r="E44" s="87">
        <v>0</v>
      </c>
      <c r="F44" s="87">
        <v>0</v>
      </c>
      <c r="G44" s="87">
        <v>2</v>
      </c>
      <c r="H44" s="87">
        <v>0</v>
      </c>
      <c r="I44" s="87">
        <v>0</v>
      </c>
      <c r="J44" s="87">
        <v>0</v>
      </c>
    </row>
    <row r="45" spans="1:10" ht="30.75" thickBot="1" x14ac:dyDescent="0.3">
      <c r="A45" s="163"/>
      <c r="B45" s="86" t="s">
        <v>609</v>
      </c>
      <c r="C45" s="87" t="s">
        <v>608</v>
      </c>
      <c r="D45" s="87">
        <v>0</v>
      </c>
      <c r="E45" s="87">
        <v>0</v>
      </c>
      <c r="F45" s="87">
        <v>1</v>
      </c>
      <c r="G45" s="87">
        <v>1</v>
      </c>
      <c r="H45" s="87">
        <v>0</v>
      </c>
      <c r="I45" s="87">
        <v>0</v>
      </c>
      <c r="J45" s="87">
        <v>0</v>
      </c>
    </row>
    <row r="46" spans="1:10" ht="45.75" thickBot="1" x14ac:dyDescent="0.3">
      <c r="A46" s="163"/>
      <c r="B46" s="86" t="s">
        <v>666</v>
      </c>
      <c r="C46" s="87" t="s">
        <v>608</v>
      </c>
      <c r="D46" s="87">
        <v>0</v>
      </c>
      <c r="E46" s="87">
        <v>1</v>
      </c>
      <c r="F46" s="87">
        <v>0</v>
      </c>
      <c r="G46" s="87">
        <v>1</v>
      </c>
      <c r="H46" s="87">
        <v>0</v>
      </c>
      <c r="I46" s="87">
        <v>0</v>
      </c>
      <c r="J46" s="87">
        <v>0</v>
      </c>
    </row>
    <row r="47" spans="1:10" ht="45.75" thickBot="1" x14ac:dyDescent="0.3">
      <c r="A47" s="163"/>
      <c r="B47" s="86" t="s">
        <v>610</v>
      </c>
      <c r="C47" s="87" t="s">
        <v>653</v>
      </c>
      <c r="D47" s="87">
        <v>0</v>
      </c>
      <c r="E47" s="87">
        <v>1.8</v>
      </c>
      <c r="F47" s="87">
        <v>0</v>
      </c>
      <c r="G47" s="87">
        <v>0</v>
      </c>
      <c r="H47" s="87">
        <v>0</v>
      </c>
      <c r="I47" s="87">
        <v>0</v>
      </c>
      <c r="J47" s="87">
        <v>0</v>
      </c>
    </row>
    <row r="48" spans="1:10" ht="60.75" thickBot="1" x14ac:dyDescent="0.3">
      <c r="A48" s="163"/>
      <c r="B48" s="86" t="s">
        <v>667</v>
      </c>
      <c r="C48" s="87" t="s">
        <v>594</v>
      </c>
      <c r="D48" s="87">
        <v>0</v>
      </c>
      <c r="E48" s="87">
        <v>80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</row>
    <row r="49" spans="1:10" ht="45.75" thickBot="1" x14ac:dyDescent="0.3">
      <c r="A49" s="163"/>
      <c r="B49" s="86" t="s">
        <v>611</v>
      </c>
      <c r="C49" s="87" t="s">
        <v>594</v>
      </c>
      <c r="D49" s="87">
        <v>0</v>
      </c>
      <c r="E49" s="87">
        <v>6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</row>
    <row r="50" spans="1:10" ht="90.75" thickBot="1" x14ac:dyDescent="0.3">
      <c r="A50" s="163"/>
      <c r="B50" s="86" t="s">
        <v>668</v>
      </c>
      <c r="C50" s="87" t="s">
        <v>600</v>
      </c>
      <c r="D50" s="87">
        <v>0</v>
      </c>
      <c r="E50" s="87">
        <v>100</v>
      </c>
      <c r="F50" s="87">
        <v>100</v>
      </c>
      <c r="G50" s="87">
        <v>100</v>
      </c>
      <c r="H50" s="87">
        <v>100</v>
      </c>
      <c r="I50" s="87">
        <v>100</v>
      </c>
      <c r="J50" s="87">
        <v>100</v>
      </c>
    </row>
    <row r="51" spans="1:10" ht="60.75" thickBot="1" x14ac:dyDescent="0.3">
      <c r="A51" s="152" t="s">
        <v>669</v>
      </c>
      <c r="B51" s="86" t="s">
        <v>612</v>
      </c>
      <c r="C51" s="87" t="s">
        <v>594</v>
      </c>
      <c r="D51" s="87">
        <v>0</v>
      </c>
      <c r="E51" s="87">
        <v>5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</row>
    <row r="52" spans="1:10" ht="45.75" thickBot="1" x14ac:dyDescent="0.3">
      <c r="A52" s="154"/>
      <c r="B52" s="86" t="s">
        <v>613</v>
      </c>
      <c r="C52" s="87" t="s">
        <v>594</v>
      </c>
      <c r="D52" s="87">
        <v>0</v>
      </c>
      <c r="E52" s="87">
        <v>60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</row>
    <row r="53" spans="1:10" ht="30.75" thickBot="1" x14ac:dyDescent="0.3">
      <c r="A53" s="154"/>
      <c r="B53" s="86" t="s">
        <v>670</v>
      </c>
      <c r="C53" s="87" t="s">
        <v>594</v>
      </c>
      <c r="D53" s="87">
        <v>0</v>
      </c>
      <c r="E53" s="87">
        <v>20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</row>
    <row r="54" spans="1:10" ht="45.75" thickBot="1" x14ac:dyDescent="0.3">
      <c r="A54" s="154"/>
      <c r="B54" s="89" t="s">
        <v>768</v>
      </c>
      <c r="C54" s="94" t="s">
        <v>594</v>
      </c>
      <c r="D54" s="94">
        <v>0</v>
      </c>
      <c r="E54" s="94">
        <v>0</v>
      </c>
      <c r="F54" s="94">
        <v>4</v>
      </c>
      <c r="G54" s="94">
        <v>1</v>
      </c>
      <c r="H54" s="94">
        <v>0</v>
      </c>
      <c r="I54" s="94">
        <v>0</v>
      </c>
      <c r="J54" s="94">
        <v>0</v>
      </c>
    </row>
    <row r="55" spans="1:10" ht="45.75" thickBot="1" x14ac:dyDescent="0.3">
      <c r="A55" s="153"/>
      <c r="B55" s="89" t="s">
        <v>769</v>
      </c>
      <c r="C55" s="94" t="s">
        <v>594</v>
      </c>
      <c r="D55" s="94">
        <v>0</v>
      </c>
      <c r="E55" s="94">
        <v>0</v>
      </c>
      <c r="F55" s="94">
        <v>199</v>
      </c>
      <c r="G55" s="94">
        <v>0</v>
      </c>
      <c r="H55" s="94">
        <v>0</v>
      </c>
      <c r="I55" s="94">
        <v>0</v>
      </c>
      <c r="J55" s="94">
        <v>0</v>
      </c>
    </row>
    <row r="56" spans="1:10" ht="28.5" customHeight="1" thickBot="1" x14ac:dyDescent="0.3">
      <c r="A56" s="158" t="s">
        <v>671</v>
      </c>
      <c r="B56" s="159"/>
      <c r="C56" s="159"/>
      <c r="D56" s="159"/>
      <c r="E56" s="159"/>
      <c r="F56" s="159"/>
      <c r="G56" s="159"/>
      <c r="H56" s="159"/>
      <c r="I56" s="159"/>
      <c r="J56" s="160"/>
    </row>
    <row r="57" spans="1:10" ht="30.75" customHeight="1" thickBot="1" x14ac:dyDescent="0.3">
      <c r="A57" s="152" t="s">
        <v>672</v>
      </c>
      <c r="B57" s="83" t="s">
        <v>673</v>
      </c>
      <c r="C57" s="82" t="s">
        <v>608</v>
      </c>
      <c r="D57" s="82">
        <v>0</v>
      </c>
      <c r="E57" s="82">
        <v>3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</row>
    <row r="58" spans="1:10" ht="30.75" thickBot="1" x14ac:dyDescent="0.3">
      <c r="A58" s="154"/>
      <c r="B58" s="83" t="s">
        <v>674</v>
      </c>
      <c r="C58" s="82" t="s">
        <v>614</v>
      </c>
      <c r="D58" s="82">
        <v>0</v>
      </c>
      <c r="E58" s="82">
        <v>510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</row>
    <row r="59" spans="1:10" ht="75.75" thickBot="1" x14ac:dyDescent="0.3">
      <c r="A59" s="154"/>
      <c r="B59" s="83" t="s">
        <v>675</v>
      </c>
      <c r="C59" s="82" t="s">
        <v>608</v>
      </c>
      <c r="D59" s="82">
        <v>0</v>
      </c>
      <c r="E59" s="82">
        <v>0</v>
      </c>
      <c r="F59" s="82">
        <v>2</v>
      </c>
      <c r="G59" s="82">
        <v>2</v>
      </c>
      <c r="H59" s="82">
        <v>0</v>
      </c>
      <c r="I59" s="82">
        <v>0</v>
      </c>
      <c r="J59" s="82">
        <v>0</v>
      </c>
    </row>
    <row r="60" spans="1:10" ht="45.75" thickBot="1" x14ac:dyDescent="0.3">
      <c r="A60" s="154"/>
      <c r="B60" s="83" t="s">
        <v>615</v>
      </c>
      <c r="C60" s="82" t="s">
        <v>665</v>
      </c>
      <c r="D60" s="82">
        <v>0</v>
      </c>
      <c r="E60" s="82">
        <v>1</v>
      </c>
      <c r="F60" s="82">
        <v>0</v>
      </c>
      <c r="G60" s="82">
        <v>0</v>
      </c>
      <c r="H60" s="85">
        <v>0</v>
      </c>
      <c r="I60" s="85">
        <v>0</v>
      </c>
      <c r="J60" s="85">
        <v>0</v>
      </c>
    </row>
    <row r="61" spans="1:10" ht="45.75" thickBot="1" x14ac:dyDescent="0.3">
      <c r="A61" s="154"/>
      <c r="B61" s="83" t="s">
        <v>676</v>
      </c>
      <c r="C61" s="82" t="s">
        <v>608</v>
      </c>
      <c r="D61" s="82">
        <v>0</v>
      </c>
      <c r="E61" s="82">
        <v>0</v>
      </c>
      <c r="F61" s="82">
        <v>0</v>
      </c>
      <c r="G61" s="82">
        <v>1</v>
      </c>
      <c r="H61" s="87">
        <v>0</v>
      </c>
      <c r="I61" s="87">
        <v>0</v>
      </c>
      <c r="J61" s="87">
        <v>0</v>
      </c>
    </row>
    <row r="62" spans="1:10" ht="45.75" thickBot="1" x14ac:dyDescent="0.3">
      <c r="A62" s="154"/>
      <c r="B62" s="83" t="s">
        <v>677</v>
      </c>
      <c r="C62" s="82" t="s">
        <v>608</v>
      </c>
      <c r="D62" s="82">
        <v>0</v>
      </c>
      <c r="E62" s="82">
        <v>4</v>
      </c>
      <c r="F62" s="82">
        <v>2</v>
      </c>
      <c r="G62" s="82">
        <v>1</v>
      </c>
      <c r="H62" s="87">
        <v>0</v>
      </c>
      <c r="I62" s="87">
        <v>0</v>
      </c>
      <c r="J62" s="87">
        <v>0</v>
      </c>
    </row>
    <row r="63" spans="1:10" ht="30.75" thickBot="1" x14ac:dyDescent="0.3">
      <c r="A63" s="153"/>
      <c r="B63" s="83" t="s">
        <v>620</v>
      </c>
      <c r="C63" s="82" t="s">
        <v>608</v>
      </c>
      <c r="D63" s="82">
        <v>0</v>
      </c>
      <c r="E63" s="82">
        <v>0</v>
      </c>
      <c r="F63" s="82">
        <v>1</v>
      </c>
      <c r="G63" s="82">
        <v>0</v>
      </c>
      <c r="H63" s="94">
        <v>0</v>
      </c>
      <c r="I63" s="94">
        <v>0</v>
      </c>
      <c r="J63" s="94">
        <v>0</v>
      </c>
    </row>
    <row r="64" spans="1:10" ht="30.75" thickBot="1" x14ac:dyDescent="0.3">
      <c r="A64" s="162" t="s">
        <v>832</v>
      </c>
      <c r="B64" s="83" t="s">
        <v>616</v>
      </c>
      <c r="C64" s="82" t="s">
        <v>678</v>
      </c>
      <c r="D64" s="88">
        <v>26500</v>
      </c>
      <c r="E64" s="88">
        <v>77982</v>
      </c>
      <c r="F64" s="88">
        <v>72678</v>
      </c>
      <c r="G64" s="88">
        <v>72678</v>
      </c>
      <c r="H64" s="88">
        <v>72678</v>
      </c>
      <c r="I64" s="88">
        <v>72678</v>
      </c>
      <c r="J64" s="88">
        <v>72678</v>
      </c>
    </row>
    <row r="65" spans="1:10" ht="45.75" thickBot="1" x14ac:dyDescent="0.3">
      <c r="A65" s="163"/>
      <c r="B65" s="83" t="s">
        <v>679</v>
      </c>
      <c r="C65" s="82" t="s">
        <v>608</v>
      </c>
      <c r="D65" s="82">
        <v>2</v>
      </c>
      <c r="E65" s="82">
        <v>2</v>
      </c>
      <c r="F65" s="82">
        <v>1</v>
      </c>
      <c r="G65" s="82">
        <v>1</v>
      </c>
      <c r="H65" s="82">
        <v>0</v>
      </c>
      <c r="I65" s="82">
        <v>0</v>
      </c>
      <c r="J65" s="82">
        <v>0</v>
      </c>
    </row>
    <row r="66" spans="1:10" ht="30.75" thickBot="1" x14ac:dyDescent="0.3">
      <c r="A66" s="164"/>
      <c r="B66" s="83" t="s">
        <v>680</v>
      </c>
      <c r="C66" s="82" t="s">
        <v>608</v>
      </c>
      <c r="D66" s="82">
        <v>3</v>
      </c>
      <c r="E66" s="82">
        <v>1</v>
      </c>
      <c r="F66" s="82">
        <v>4</v>
      </c>
      <c r="G66" s="102">
        <v>5</v>
      </c>
      <c r="H66" s="82">
        <v>0</v>
      </c>
      <c r="I66" s="82">
        <v>0</v>
      </c>
      <c r="J66" s="82">
        <v>0</v>
      </c>
    </row>
    <row r="67" spans="1:10" ht="45.75" thickBot="1" x14ac:dyDescent="0.3">
      <c r="A67" s="152" t="s">
        <v>681</v>
      </c>
      <c r="B67" s="83" t="s">
        <v>617</v>
      </c>
      <c r="C67" s="82" t="s">
        <v>600</v>
      </c>
      <c r="D67" s="82">
        <v>0</v>
      </c>
      <c r="E67" s="82">
        <v>100</v>
      </c>
      <c r="F67" s="82">
        <v>100</v>
      </c>
      <c r="G67" s="82">
        <v>100</v>
      </c>
      <c r="H67" s="82">
        <v>100</v>
      </c>
      <c r="I67" s="82">
        <v>100</v>
      </c>
      <c r="J67" s="82">
        <v>100</v>
      </c>
    </row>
    <row r="68" spans="1:10" ht="45.75" thickBot="1" x14ac:dyDescent="0.3">
      <c r="A68" s="154"/>
      <c r="B68" s="83" t="s">
        <v>682</v>
      </c>
      <c r="C68" s="82" t="s">
        <v>618</v>
      </c>
      <c r="D68" s="82">
        <v>0</v>
      </c>
      <c r="E68" s="88">
        <v>900773</v>
      </c>
      <c r="F68" s="82">
        <v>1038558</v>
      </c>
      <c r="G68" s="82">
        <v>1137098</v>
      </c>
      <c r="H68" s="82">
        <v>1137098</v>
      </c>
      <c r="I68" s="82">
        <v>1137098</v>
      </c>
      <c r="J68" s="82">
        <v>1137098</v>
      </c>
    </row>
    <row r="69" spans="1:10" ht="45.75" thickBot="1" x14ac:dyDescent="0.3">
      <c r="A69" s="154"/>
      <c r="B69" s="83" t="s">
        <v>1013</v>
      </c>
      <c r="C69" s="82" t="s">
        <v>608</v>
      </c>
      <c r="D69" s="82">
        <v>0</v>
      </c>
      <c r="E69" s="82">
        <v>2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</row>
    <row r="70" spans="1:10" ht="45.75" thickBot="1" x14ac:dyDescent="0.3">
      <c r="A70" s="154"/>
      <c r="B70" s="83" t="s">
        <v>1007</v>
      </c>
      <c r="C70" s="82" t="s">
        <v>756</v>
      </c>
      <c r="D70" s="82">
        <v>0</v>
      </c>
      <c r="E70" s="82">
        <v>0</v>
      </c>
      <c r="F70" s="82">
        <v>0</v>
      </c>
      <c r="G70" s="82">
        <v>1</v>
      </c>
      <c r="H70" s="82">
        <v>0</v>
      </c>
      <c r="I70" s="82">
        <v>0</v>
      </c>
      <c r="J70" s="82">
        <v>0</v>
      </c>
    </row>
    <row r="71" spans="1:10" ht="60.75" thickBot="1" x14ac:dyDescent="0.3">
      <c r="A71" s="154"/>
      <c r="B71" s="83" t="s">
        <v>667</v>
      </c>
      <c r="C71" s="82" t="s">
        <v>594</v>
      </c>
      <c r="D71" s="82">
        <v>0</v>
      </c>
      <c r="E71" s="82">
        <v>0</v>
      </c>
      <c r="F71" s="82">
        <v>188</v>
      </c>
      <c r="G71" s="82">
        <v>62</v>
      </c>
      <c r="H71" s="82">
        <v>0</v>
      </c>
      <c r="I71" s="82">
        <v>0</v>
      </c>
      <c r="J71" s="82">
        <v>0</v>
      </c>
    </row>
    <row r="72" spans="1:10" ht="60.75" thickBot="1" x14ac:dyDescent="0.3">
      <c r="A72" s="154"/>
      <c r="B72" s="83" t="s">
        <v>619</v>
      </c>
      <c r="C72" s="82" t="s">
        <v>594</v>
      </c>
      <c r="D72" s="82">
        <v>0</v>
      </c>
      <c r="E72" s="82">
        <v>0</v>
      </c>
      <c r="F72" s="82">
        <v>71</v>
      </c>
      <c r="G72" s="82">
        <v>8</v>
      </c>
      <c r="H72" s="82">
        <v>0</v>
      </c>
      <c r="I72" s="82">
        <v>0</v>
      </c>
      <c r="J72" s="82">
        <v>0</v>
      </c>
    </row>
    <row r="73" spans="1:10" ht="60.75" thickBot="1" x14ac:dyDescent="0.3">
      <c r="A73" s="154"/>
      <c r="B73" s="145" t="s">
        <v>1014</v>
      </c>
      <c r="C73" s="82" t="s">
        <v>1015</v>
      </c>
      <c r="D73" s="82">
        <v>0</v>
      </c>
      <c r="E73" s="82">
        <v>0</v>
      </c>
      <c r="F73" s="82">
        <v>0</v>
      </c>
      <c r="G73" s="82">
        <v>541.29999999999995</v>
      </c>
      <c r="H73" s="82">
        <v>0</v>
      </c>
      <c r="I73" s="82">
        <v>0</v>
      </c>
      <c r="J73" s="82">
        <v>0</v>
      </c>
    </row>
    <row r="74" spans="1:10" ht="30.75" thickBot="1" x14ac:dyDescent="0.3">
      <c r="A74" s="154"/>
      <c r="B74" s="146" t="s">
        <v>1016</v>
      </c>
      <c r="C74" s="82" t="s">
        <v>594</v>
      </c>
      <c r="D74" s="82">
        <v>0</v>
      </c>
      <c r="E74" s="82">
        <v>0</v>
      </c>
      <c r="F74" s="82">
        <v>0</v>
      </c>
      <c r="G74" s="82">
        <v>1</v>
      </c>
      <c r="H74" s="82">
        <v>0</v>
      </c>
      <c r="I74" s="82">
        <v>0</v>
      </c>
      <c r="J74" s="82">
        <v>0</v>
      </c>
    </row>
    <row r="75" spans="1:10" ht="30.75" thickBot="1" x14ac:dyDescent="0.3">
      <c r="A75" s="154"/>
      <c r="B75" s="146" t="s">
        <v>1017</v>
      </c>
      <c r="C75" s="82" t="s">
        <v>1018</v>
      </c>
      <c r="D75" s="82">
        <v>0</v>
      </c>
      <c r="E75" s="82">
        <v>0</v>
      </c>
      <c r="F75" s="82">
        <v>0</v>
      </c>
      <c r="G75" s="82">
        <v>792</v>
      </c>
      <c r="H75" s="82">
        <v>0</v>
      </c>
      <c r="I75" s="82">
        <v>0</v>
      </c>
      <c r="J75" s="82">
        <v>0</v>
      </c>
    </row>
    <row r="76" spans="1:10" ht="75.75" thickBot="1" x14ac:dyDescent="0.3">
      <c r="A76" s="153"/>
      <c r="B76" s="146" t="s">
        <v>1019</v>
      </c>
      <c r="C76" s="82" t="s">
        <v>756</v>
      </c>
      <c r="D76" s="82">
        <v>0</v>
      </c>
      <c r="E76" s="82">
        <v>0</v>
      </c>
      <c r="F76" s="82">
        <v>0</v>
      </c>
      <c r="G76" s="82">
        <v>1</v>
      </c>
      <c r="H76" s="82">
        <v>0</v>
      </c>
      <c r="I76" s="82">
        <v>0</v>
      </c>
      <c r="J76" s="82">
        <v>0</v>
      </c>
    </row>
    <row r="77" spans="1:10" ht="90.75" thickBot="1" x14ac:dyDescent="0.3">
      <c r="A77" s="132" t="s">
        <v>683</v>
      </c>
      <c r="B77" s="83" t="s">
        <v>684</v>
      </c>
      <c r="C77" s="82" t="s">
        <v>608</v>
      </c>
      <c r="D77" s="82">
        <v>0</v>
      </c>
      <c r="E77" s="82">
        <v>0</v>
      </c>
      <c r="F77" s="82">
        <v>1</v>
      </c>
      <c r="G77" s="82">
        <v>0</v>
      </c>
      <c r="H77" s="82">
        <v>0</v>
      </c>
      <c r="I77" s="82">
        <v>0</v>
      </c>
      <c r="J77" s="82">
        <v>0</v>
      </c>
    </row>
    <row r="78" spans="1:10" ht="105.75" customHeight="1" thickBot="1" x14ac:dyDescent="0.3">
      <c r="A78" s="152" t="s">
        <v>685</v>
      </c>
      <c r="B78" s="83" t="s">
        <v>621</v>
      </c>
      <c r="C78" s="82" t="s">
        <v>638</v>
      </c>
      <c r="D78" s="82">
        <v>20</v>
      </c>
      <c r="E78" s="82">
        <v>2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</row>
    <row r="79" spans="1:10" ht="30.75" thickBot="1" x14ac:dyDescent="0.3">
      <c r="A79" s="153"/>
      <c r="B79" s="83" t="s">
        <v>770</v>
      </c>
      <c r="C79" s="82" t="s">
        <v>638</v>
      </c>
      <c r="D79" s="82">
        <v>0</v>
      </c>
      <c r="E79" s="82">
        <v>0</v>
      </c>
      <c r="F79" s="82">
        <v>1</v>
      </c>
      <c r="G79" s="82">
        <v>1</v>
      </c>
      <c r="H79" s="82">
        <v>0</v>
      </c>
      <c r="I79" s="82">
        <v>0</v>
      </c>
      <c r="J79" s="82">
        <v>0</v>
      </c>
    </row>
    <row r="80" spans="1:10" ht="60.75" thickBot="1" x14ac:dyDescent="0.3">
      <c r="A80" s="132" t="s">
        <v>622</v>
      </c>
      <c r="B80" s="83" t="s">
        <v>623</v>
      </c>
      <c r="C80" s="82" t="s">
        <v>638</v>
      </c>
      <c r="D80" s="82">
        <v>0</v>
      </c>
      <c r="E80" s="82">
        <v>35</v>
      </c>
      <c r="F80" s="82">
        <v>36</v>
      </c>
      <c r="G80" s="82">
        <v>13</v>
      </c>
      <c r="H80" s="82">
        <v>19</v>
      </c>
      <c r="I80" s="82">
        <v>0</v>
      </c>
      <c r="J80" s="82">
        <v>0</v>
      </c>
    </row>
    <row r="81" spans="1:10" ht="60.75" thickBot="1" x14ac:dyDescent="0.3">
      <c r="A81" s="132" t="s">
        <v>624</v>
      </c>
      <c r="B81" s="83" t="s">
        <v>625</v>
      </c>
      <c r="C81" s="82" t="s">
        <v>594</v>
      </c>
      <c r="D81" s="82">
        <v>0</v>
      </c>
      <c r="E81" s="82">
        <v>2</v>
      </c>
      <c r="F81" s="82">
        <v>0</v>
      </c>
      <c r="G81" s="82">
        <v>0</v>
      </c>
      <c r="H81" s="82">
        <v>0</v>
      </c>
      <c r="I81" s="82">
        <v>0</v>
      </c>
      <c r="J81" s="82">
        <v>0</v>
      </c>
    </row>
    <row r="82" spans="1:10" ht="90.75" thickBot="1" x14ac:dyDescent="0.3">
      <c r="A82" s="147" t="s">
        <v>1008</v>
      </c>
      <c r="B82" s="148" t="s">
        <v>1009</v>
      </c>
      <c r="C82" s="82" t="s">
        <v>594</v>
      </c>
      <c r="D82" s="82">
        <v>0</v>
      </c>
      <c r="E82" s="82">
        <v>0</v>
      </c>
      <c r="F82" s="82">
        <v>0</v>
      </c>
      <c r="G82" s="82">
        <v>3</v>
      </c>
      <c r="H82" s="82">
        <v>0</v>
      </c>
      <c r="I82" s="82">
        <v>0</v>
      </c>
      <c r="J82" s="82">
        <v>0</v>
      </c>
    </row>
    <row r="83" spans="1:10" ht="45.75" thickBot="1" x14ac:dyDescent="0.3">
      <c r="A83" s="132" t="s">
        <v>686</v>
      </c>
      <c r="B83" s="83" t="s">
        <v>626</v>
      </c>
      <c r="C83" s="82" t="s">
        <v>608</v>
      </c>
      <c r="D83" s="82">
        <v>0</v>
      </c>
      <c r="E83" s="82">
        <v>0</v>
      </c>
      <c r="F83" s="82">
        <v>1</v>
      </c>
      <c r="G83" s="82">
        <v>1</v>
      </c>
      <c r="H83" s="82">
        <v>0</v>
      </c>
      <c r="I83" s="82">
        <v>0</v>
      </c>
      <c r="J83" s="82">
        <v>0</v>
      </c>
    </row>
    <row r="84" spans="1:10" ht="28.5" customHeight="1" thickBot="1" x14ac:dyDescent="0.3">
      <c r="A84" s="158" t="s">
        <v>687</v>
      </c>
      <c r="B84" s="159"/>
      <c r="C84" s="159"/>
      <c r="D84" s="159"/>
      <c r="E84" s="159"/>
      <c r="F84" s="159"/>
      <c r="G84" s="159"/>
      <c r="H84" s="159"/>
      <c r="I84" s="159"/>
      <c r="J84" s="160"/>
    </row>
    <row r="85" spans="1:10" ht="75.75" thickBot="1" x14ac:dyDescent="0.3">
      <c r="A85" s="132" t="s">
        <v>627</v>
      </c>
      <c r="B85" s="83" t="s">
        <v>628</v>
      </c>
      <c r="C85" s="82" t="s">
        <v>688</v>
      </c>
      <c r="D85" s="82">
        <v>0</v>
      </c>
      <c r="E85" s="82">
        <v>93.6</v>
      </c>
      <c r="F85" s="82">
        <v>55.2</v>
      </c>
      <c r="G85" s="82">
        <v>59</v>
      </c>
      <c r="H85" s="82">
        <v>59</v>
      </c>
      <c r="I85" s="82">
        <v>59</v>
      </c>
      <c r="J85" s="82">
        <v>59</v>
      </c>
    </row>
    <row r="86" spans="1:10" ht="75.75" thickBot="1" x14ac:dyDescent="0.3">
      <c r="A86" s="131" t="s">
        <v>689</v>
      </c>
      <c r="B86" s="84" t="s">
        <v>629</v>
      </c>
      <c r="C86" s="85" t="s">
        <v>600</v>
      </c>
      <c r="D86" s="85">
        <v>0</v>
      </c>
      <c r="E86" s="85">
        <v>10.5</v>
      </c>
      <c r="F86" s="85">
        <v>15.8</v>
      </c>
      <c r="G86" s="85">
        <v>0</v>
      </c>
      <c r="H86" s="85">
        <v>0</v>
      </c>
      <c r="I86" s="85">
        <v>0</v>
      </c>
      <c r="J86" s="85">
        <v>0</v>
      </c>
    </row>
    <row r="87" spans="1:10" ht="30.75" thickBot="1" x14ac:dyDescent="0.3">
      <c r="A87" s="89" t="s">
        <v>690</v>
      </c>
      <c r="B87" s="90" t="s">
        <v>834</v>
      </c>
      <c r="C87" s="91" t="s">
        <v>638</v>
      </c>
      <c r="D87" s="91">
        <v>0</v>
      </c>
      <c r="E87" s="91">
        <v>2</v>
      </c>
      <c r="F87" s="91">
        <v>3</v>
      </c>
      <c r="G87" s="91">
        <v>0</v>
      </c>
      <c r="H87" s="91">
        <v>0</v>
      </c>
      <c r="I87" s="91">
        <v>0</v>
      </c>
      <c r="J87" s="91">
        <v>0</v>
      </c>
    </row>
    <row r="88" spans="1:10" ht="30.75" thickBot="1" x14ac:dyDescent="0.3">
      <c r="A88" s="132" t="s">
        <v>691</v>
      </c>
      <c r="B88" s="83" t="s">
        <v>630</v>
      </c>
      <c r="C88" s="82" t="s">
        <v>608</v>
      </c>
      <c r="D88" s="82">
        <v>0</v>
      </c>
      <c r="E88" s="82">
        <v>0</v>
      </c>
      <c r="F88" s="82">
        <v>1</v>
      </c>
      <c r="G88" s="82">
        <v>1</v>
      </c>
      <c r="H88" s="82">
        <v>0</v>
      </c>
      <c r="I88" s="82">
        <v>0</v>
      </c>
      <c r="J88" s="82">
        <v>0</v>
      </c>
    </row>
    <row r="89" spans="1:10" ht="75.75" thickBot="1" x14ac:dyDescent="0.3">
      <c r="A89" s="132" t="s">
        <v>692</v>
      </c>
      <c r="B89" s="83" t="s">
        <v>631</v>
      </c>
      <c r="C89" s="82" t="s">
        <v>600</v>
      </c>
      <c r="D89" s="82">
        <v>0</v>
      </c>
      <c r="E89" s="82">
        <v>0</v>
      </c>
      <c r="F89" s="102">
        <v>5.3</v>
      </c>
      <c r="G89" s="82">
        <v>5.3</v>
      </c>
      <c r="H89" s="82">
        <v>0</v>
      </c>
      <c r="I89" s="82">
        <v>0</v>
      </c>
      <c r="J89" s="82">
        <v>0</v>
      </c>
    </row>
    <row r="90" spans="1:10" ht="60.75" thickBot="1" x14ac:dyDescent="0.3">
      <c r="A90" s="132" t="s">
        <v>1005</v>
      </c>
      <c r="B90" s="83" t="s">
        <v>1004</v>
      </c>
      <c r="C90" s="82" t="s">
        <v>638</v>
      </c>
      <c r="D90" s="82">
        <v>0</v>
      </c>
      <c r="E90" s="82">
        <v>0</v>
      </c>
      <c r="F90" s="102">
        <v>0</v>
      </c>
      <c r="G90" s="82">
        <v>5</v>
      </c>
      <c r="H90" s="82">
        <v>0</v>
      </c>
      <c r="I90" s="82">
        <v>0</v>
      </c>
      <c r="J90" s="82">
        <v>0</v>
      </c>
    </row>
    <row r="91" spans="1:10" ht="75.75" thickBot="1" x14ac:dyDescent="0.3">
      <c r="A91" s="150" t="s">
        <v>1022</v>
      </c>
      <c r="B91" s="149" t="s">
        <v>1021</v>
      </c>
      <c r="C91" s="82" t="s">
        <v>638</v>
      </c>
      <c r="D91" s="82">
        <v>0</v>
      </c>
      <c r="E91" s="82">
        <v>0</v>
      </c>
      <c r="F91" s="102">
        <v>0</v>
      </c>
      <c r="G91" s="82">
        <f>24+4</f>
        <v>28</v>
      </c>
      <c r="H91" s="82">
        <v>0</v>
      </c>
      <c r="I91" s="82">
        <v>0</v>
      </c>
      <c r="J91" s="82">
        <v>0</v>
      </c>
    </row>
    <row r="92" spans="1:10" ht="45.75" thickBot="1" x14ac:dyDescent="0.3">
      <c r="A92" s="151"/>
      <c r="B92" s="90" t="s">
        <v>1006</v>
      </c>
      <c r="C92" s="82" t="s">
        <v>638</v>
      </c>
      <c r="D92" s="82">
        <v>0</v>
      </c>
      <c r="E92" s="82">
        <v>0</v>
      </c>
      <c r="F92" s="102">
        <v>0</v>
      </c>
      <c r="G92" s="82">
        <f>1+2</f>
        <v>3</v>
      </c>
      <c r="H92" s="82">
        <v>0</v>
      </c>
      <c r="I92" s="82">
        <v>0</v>
      </c>
      <c r="J92" s="82">
        <v>0</v>
      </c>
    </row>
    <row r="93" spans="1:10" x14ac:dyDescent="0.25">
      <c r="A93" s="99"/>
    </row>
  </sheetData>
  <mergeCells count="27">
    <mergeCell ref="A78:A79"/>
    <mergeCell ref="A57:A63"/>
    <mergeCell ref="A27:A29"/>
    <mergeCell ref="A23:A24"/>
    <mergeCell ref="A51:A55"/>
    <mergeCell ref="A67:A76"/>
    <mergeCell ref="A5:J5"/>
    <mergeCell ref="A6:A7"/>
    <mergeCell ref="A17:J17"/>
    <mergeCell ref="A33:J33"/>
    <mergeCell ref="A34:A36"/>
    <mergeCell ref="A91:A92"/>
    <mergeCell ref="A14:A15"/>
    <mergeCell ref="A9:A11"/>
    <mergeCell ref="E1:J1"/>
    <mergeCell ref="A3:A4"/>
    <mergeCell ref="B3:B4"/>
    <mergeCell ref="C3:C4"/>
    <mergeCell ref="D3:D4"/>
    <mergeCell ref="E3:J3"/>
    <mergeCell ref="A12:A13"/>
    <mergeCell ref="A84:J84"/>
    <mergeCell ref="A2:J2"/>
    <mergeCell ref="A40:J40"/>
    <mergeCell ref="A41:A50"/>
    <mergeCell ref="A56:J56"/>
    <mergeCell ref="A64:A6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AN489"/>
  <sheetViews>
    <sheetView tabSelected="1" view="pageBreakPreview" zoomScale="60" zoomScaleNormal="70" workbookViewId="0">
      <pane ySplit="7" topLeftCell="A92" activePane="bottomLeft" state="frozen"/>
      <selection pane="bottomLeft" activeCell="M95" sqref="M95"/>
    </sheetView>
  </sheetViews>
  <sheetFormatPr defaultRowHeight="15.75" outlineLevelRow="3" outlineLevelCol="1" x14ac:dyDescent="0.25"/>
  <cols>
    <col min="1" max="1" width="10" style="14" customWidth="1"/>
    <col min="2" max="2" width="33.42578125" style="1" customWidth="1"/>
    <col min="3" max="3" width="26.7109375" style="1" customWidth="1"/>
    <col min="4" max="4" width="19.5703125" style="1" customWidth="1"/>
    <col min="5" max="5" width="16.140625" style="3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3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3.85546875" style="37" customWidth="1" collapsed="1"/>
    <col min="16" max="16" width="15" style="3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3" customWidth="1"/>
    <col min="21" max="21" width="12.7109375" style="1" customWidth="1" outlineLevel="1"/>
    <col min="22" max="22" width="14.5703125" style="1" customWidth="1"/>
    <col min="23" max="23" width="13.85546875" style="1" customWidth="1"/>
    <col min="24" max="24" width="12.7109375" style="36" customWidth="1"/>
    <col min="25" max="25" width="14" style="3" customWidth="1"/>
    <col min="26" max="26" width="13.5703125" style="1" customWidth="1" outlineLevel="1"/>
    <col min="27" max="27" width="12.7109375" style="1" customWidth="1"/>
    <col min="28" max="28" width="14.85546875" style="1" customWidth="1"/>
    <col min="29" max="29" width="13.28515625" style="36" customWidth="1"/>
    <col min="30" max="30" width="15" style="3" customWidth="1" collapsed="1"/>
    <col min="31" max="31" width="15" style="1" hidden="1" customWidth="1" outlineLevel="1"/>
    <col min="32" max="33" width="15" style="1" customWidth="1"/>
    <col min="34" max="34" width="15.7109375" style="36" customWidth="1"/>
    <col min="35" max="35" width="15" style="3" customWidth="1" collapsed="1"/>
    <col min="36" max="36" width="15" style="1" hidden="1" customWidth="1" outlineLevel="1"/>
    <col min="37" max="38" width="15" style="1" customWidth="1"/>
    <col min="39" max="39" width="15.7109375" style="36" customWidth="1"/>
    <col min="40" max="43" width="7.7109375" style="1" customWidth="1"/>
    <col min="44" max="44" width="6.85546875" style="1" bestFit="1" customWidth="1"/>
    <col min="45" max="45" width="10.28515625" style="1" bestFit="1" customWidth="1"/>
    <col min="46" max="46" width="3.85546875" style="1" bestFit="1" customWidth="1"/>
    <col min="47" max="48" width="9.28515625" style="1" customWidth="1"/>
    <col min="49" max="16384" width="9.140625" style="1"/>
  </cols>
  <sheetData>
    <row r="1" spans="1:40" s="10" customFormat="1" ht="60.75" customHeight="1" x14ac:dyDescent="0.25">
      <c r="A1" s="15"/>
      <c r="B1" s="112"/>
      <c r="C1" s="23"/>
      <c r="D1" s="207"/>
      <c r="E1" s="207"/>
      <c r="F1" s="207"/>
      <c r="G1" s="207"/>
      <c r="H1" s="207"/>
      <c r="I1" s="207"/>
      <c r="J1" s="207"/>
      <c r="K1" s="207"/>
      <c r="L1" s="207"/>
      <c r="O1" s="11"/>
      <c r="AH1" s="210" t="s">
        <v>701</v>
      </c>
      <c r="AI1" s="210"/>
      <c r="AJ1" s="210"/>
      <c r="AK1" s="210"/>
      <c r="AL1" s="210"/>
      <c r="AM1" s="210"/>
      <c r="AN1" s="35"/>
    </row>
    <row r="2" spans="1:40" ht="15.75" customHeight="1" x14ac:dyDescent="0.25">
      <c r="A2" s="209" t="s">
        <v>702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</row>
    <row r="3" spans="1:40" x14ac:dyDescent="0.25">
      <c r="E3" s="4"/>
    </row>
    <row r="4" spans="1:40" x14ac:dyDescent="0.25">
      <c r="A4" s="208" t="s">
        <v>2</v>
      </c>
      <c r="B4" s="171" t="s">
        <v>6</v>
      </c>
      <c r="C4" s="172" t="s">
        <v>271</v>
      </c>
      <c r="D4" s="172" t="s">
        <v>0</v>
      </c>
      <c r="E4" s="200" t="s">
        <v>466</v>
      </c>
      <c r="F4" s="200"/>
      <c r="G4" s="200"/>
      <c r="H4" s="200"/>
      <c r="I4" s="200"/>
      <c r="J4" s="211" t="s">
        <v>467</v>
      </c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</row>
    <row r="5" spans="1:40" x14ac:dyDescent="0.25">
      <c r="A5" s="208"/>
      <c r="B5" s="171"/>
      <c r="C5" s="172"/>
      <c r="D5" s="172"/>
      <c r="E5" s="200"/>
      <c r="F5" s="200"/>
      <c r="G5" s="200"/>
      <c r="H5" s="200"/>
      <c r="I5" s="200"/>
      <c r="J5" s="200" t="s">
        <v>9</v>
      </c>
      <c r="K5" s="200"/>
      <c r="L5" s="200"/>
      <c r="M5" s="200"/>
      <c r="N5" s="200"/>
      <c r="O5" s="200" t="s">
        <v>10</v>
      </c>
      <c r="P5" s="200"/>
      <c r="Q5" s="200"/>
      <c r="R5" s="200"/>
      <c r="S5" s="200"/>
      <c r="T5" s="200" t="s">
        <v>11</v>
      </c>
      <c r="U5" s="200"/>
      <c r="V5" s="200"/>
      <c r="W5" s="200"/>
      <c r="X5" s="200"/>
      <c r="Y5" s="200" t="s">
        <v>401</v>
      </c>
      <c r="Z5" s="200"/>
      <c r="AA5" s="200"/>
      <c r="AB5" s="200"/>
      <c r="AC5" s="200"/>
      <c r="AD5" s="200" t="s">
        <v>402</v>
      </c>
      <c r="AE5" s="200"/>
      <c r="AF5" s="200"/>
      <c r="AG5" s="200"/>
      <c r="AH5" s="200"/>
      <c r="AI5" s="200" t="s">
        <v>403</v>
      </c>
      <c r="AJ5" s="200"/>
      <c r="AK5" s="200"/>
      <c r="AL5" s="200"/>
      <c r="AM5" s="200"/>
    </row>
    <row r="6" spans="1:40" x14ac:dyDescent="0.25">
      <c r="A6" s="208"/>
      <c r="B6" s="171"/>
      <c r="C6" s="172"/>
      <c r="D6" s="172"/>
      <c r="E6" s="199" t="s">
        <v>1</v>
      </c>
      <c r="F6" s="201" t="s">
        <v>5</v>
      </c>
      <c r="G6" s="201"/>
      <c r="H6" s="201"/>
      <c r="I6" s="201"/>
      <c r="J6" s="199" t="s">
        <v>1</v>
      </c>
      <c r="K6" s="201" t="s">
        <v>5</v>
      </c>
      <c r="L6" s="201"/>
      <c r="M6" s="201"/>
      <c r="N6" s="201"/>
      <c r="O6" s="199" t="s">
        <v>1</v>
      </c>
      <c r="P6" s="201" t="s">
        <v>5</v>
      </c>
      <c r="Q6" s="201"/>
      <c r="R6" s="201"/>
      <c r="S6" s="201"/>
      <c r="T6" s="199" t="s">
        <v>1</v>
      </c>
      <c r="U6" s="201" t="s">
        <v>5</v>
      </c>
      <c r="V6" s="201"/>
      <c r="W6" s="201"/>
      <c r="X6" s="201"/>
      <c r="Y6" s="199" t="s">
        <v>1</v>
      </c>
      <c r="Z6" s="201" t="s">
        <v>5</v>
      </c>
      <c r="AA6" s="201"/>
      <c r="AB6" s="201"/>
      <c r="AC6" s="201"/>
      <c r="AD6" s="199" t="s">
        <v>1</v>
      </c>
      <c r="AE6" s="201" t="s">
        <v>5</v>
      </c>
      <c r="AF6" s="201"/>
      <c r="AG6" s="201"/>
      <c r="AH6" s="201"/>
      <c r="AI6" s="199" t="s">
        <v>1</v>
      </c>
      <c r="AJ6" s="201" t="s">
        <v>5</v>
      </c>
      <c r="AK6" s="201"/>
      <c r="AL6" s="201"/>
      <c r="AM6" s="201"/>
    </row>
    <row r="7" spans="1:40" s="2" customFormat="1" ht="31.5" x14ac:dyDescent="0.25">
      <c r="A7" s="208"/>
      <c r="B7" s="171"/>
      <c r="C7" s="172"/>
      <c r="D7" s="172"/>
      <c r="E7" s="199"/>
      <c r="F7" s="137" t="s">
        <v>33</v>
      </c>
      <c r="G7" s="137" t="s">
        <v>34</v>
      </c>
      <c r="H7" s="137" t="s">
        <v>29</v>
      </c>
      <c r="I7" s="137" t="s">
        <v>35</v>
      </c>
      <c r="J7" s="199"/>
      <c r="K7" s="137" t="s">
        <v>33</v>
      </c>
      <c r="L7" s="137" t="s">
        <v>34</v>
      </c>
      <c r="M7" s="137" t="s">
        <v>29</v>
      </c>
      <c r="N7" s="137" t="s">
        <v>35</v>
      </c>
      <c r="O7" s="199"/>
      <c r="P7" s="137" t="s">
        <v>33</v>
      </c>
      <c r="Q7" s="137" t="s">
        <v>34</v>
      </c>
      <c r="R7" s="137" t="s">
        <v>29</v>
      </c>
      <c r="S7" s="137" t="s">
        <v>35</v>
      </c>
      <c r="T7" s="199"/>
      <c r="U7" s="137" t="s">
        <v>33</v>
      </c>
      <c r="V7" s="137" t="s">
        <v>34</v>
      </c>
      <c r="W7" s="137" t="s">
        <v>29</v>
      </c>
      <c r="X7" s="137" t="s">
        <v>35</v>
      </c>
      <c r="Y7" s="199"/>
      <c r="Z7" s="137" t="s">
        <v>33</v>
      </c>
      <c r="AA7" s="137" t="s">
        <v>34</v>
      </c>
      <c r="AB7" s="137" t="s">
        <v>29</v>
      </c>
      <c r="AC7" s="137" t="s">
        <v>35</v>
      </c>
      <c r="AD7" s="199"/>
      <c r="AE7" s="137" t="s">
        <v>33</v>
      </c>
      <c r="AF7" s="137" t="s">
        <v>34</v>
      </c>
      <c r="AG7" s="137" t="s">
        <v>29</v>
      </c>
      <c r="AH7" s="137" t="s">
        <v>35</v>
      </c>
      <c r="AI7" s="199"/>
      <c r="AJ7" s="137" t="s">
        <v>33</v>
      </c>
      <c r="AK7" s="137" t="s">
        <v>34</v>
      </c>
      <c r="AL7" s="137" t="s">
        <v>29</v>
      </c>
      <c r="AM7" s="137" t="s">
        <v>35</v>
      </c>
    </row>
    <row r="8" spans="1:40" s="2" customFormat="1" x14ac:dyDescent="0.25">
      <c r="A8" s="138">
        <v>1</v>
      </c>
      <c r="B8" s="93">
        <v>2</v>
      </c>
      <c r="C8" s="137">
        <v>3</v>
      </c>
      <c r="D8" s="137">
        <v>4</v>
      </c>
      <c r="E8" s="137">
        <v>5</v>
      </c>
      <c r="F8" s="138">
        <v>6</v>
      </c>
      <c r="G8" s="93">
        <v>7</v>
      </c>
      <c r="H8" s="137">
        <v>8</v>
      </c>
      <c r="I8" s="137">
        <v>9</v>
      </c>
      <c r="J8" s="137">
        <v>10</v>
      </c>
      <c r="K8" s="138">
        <v>11</v>
      </c>
      <c r="L8" s="93">
        <v>12</v>
      </c>
      <c r="M8" s="137">
        <v>13</v>
      </c>
      <c r="N8" s="137">
        <v>14</v>
      </c>
      <c r="O8" s="137">
        <v>15</v>
      </c>
      <c r="P8" s="138">
        <v>16</v>
      </c>
      <c r="Q8" s="93">
        <v>17</v>
      </c>
      <c r="R8" s="137">
        <v>18</v>
      </c>
      <c r="S8" s="137">
        <v>19</v>
      </c>
      <c r="T8" s="137">
        <v>20</v>
      </c>
      <c r="U8" s="138">
        <v>21</v>
      </c>
      <c r="V8" s="93">
        <v>22</v>
      </c>
      <c r="W8" s="137">
        <v>23</v>
      </c>
      <c r="X8" s="137">
        <v>24</v>
      </c>
      <c r="Y8" s="137">
        <v>25</v>
      </c>
      <c r="Z8" s="138">
        <v>26</v>
      </c>
      <c r="AA8" s="93">
        <v>27</v>
      </c>
      <c r="AB8" s="137">
        <v>28</v>
      </c>
      <c r="AC8" s="137">
        <v>29</v>
      </c>
      <c r="AD8" s="137">
        <v>30</v>
      </c>
      <c r="AE8" s="138">
        <v>31</v>
      </c>
      <c r="AF8" s="93">
        <v>32</v>
      </c>
      <c r="AG8" s="137">
        <v>33</v>
      </c>
      <c r="AH8" s="137">
        <v>34</v>
      </c>
      <c r="AI8" s="137">
        <v>35</v>
      </c>
      <c r="AJ8" s="138">
        <v>36</v>
      </c>
      <c r="AK8" s="93">
        <v>37</v>
      </c>
      <c r="AL8" s="137">
        <v>38</v>
      </c>
      <c r="AM8" s="137">
        <v>39</v>
      </c>
    </row>
    <row r="9" spans="1:40" s="5" customFormat="1" ht="42" customHeight="1" x14ac:dyDescent="0.25">
      <c r="A9" s="138"/>
      <c r="B9" s="171" t="s">
        <v>480</v>
      </c>
      <c r="C9" s="172"/>
      <c r="D9" s="172"/>
      <c r="E9" s="18">
        <f>E10+E115+E202+E237+E286+E446</f>
        <v>2620220.9196918518</v>
      </c>
      <c r="F9" s="18" t="s">
        <v>940</v>
      </c>
      <c r="G9" s="18">
        <f t="shared" ref="G9:AM9" si="0">G10+G115+G202+G237+G286+G446</f>
        <v>254451.7</v>
      </c>
      <c r="H9" s="18">
        <f t="shared" si="0"/>
        <v>2363800.4196918518</v>
      </c>
      <c r="I9" s="18">
        <f t="shared" si="0"/>
        <v>1968.8000000000002</v>
      </c>
      <c r="J9" s="18">
        <f t="shared" si="0"/>
        <v>652310.30000000005</v>
      </c>
      <c r="K9" s="18">
        <f t="shared" si="0"/>
        <v>0</v>
      </c>
      <c r="L9" s="18">
        <f t="shared" si="0"/>
        <v>138959.70000000001</v>
      </c>
      <c r="M9" s="18">
        <f t="shared" si="0"/>
        <v>512837.20000000007</v>
      </c>
      <c r="N9" s="18">
        <f t="shared" si="0"/>
        <v>513.40000000000009</v>
      </c>
      <c r="O9" s="18">
        <f t="shared" si="0"/>
        <v>518415.30398625147</v>
      </c>
      <c r="P9" s="18">
        <f t="shared" si="0"/>
        <v>0</v>
      </c>
      <c r="Q9" s="18">
        <f t="shared" si="0"/>
        <v>10000</v>
      </c>
      <c r="R9" s="18">
        <f t="shared" si="0"/>
        <v>508309.40398625151</v>
      </c>
      <c r="S9" s="18">
        <f t="shared" si="0"/>
        <v>105.9</v>
      </c>
      <c r="T9" s="18">
        <f t="shared" si="0"/>
        <v>675098.20000000007</v>
      </c>
      <c r="U9" s="18">
        <f t="shared" si="0"/>
        <v>0</v>
      </c>
      <c r="V9" s="18">
        <f t="shared" si="0"/>
        <v>105492</v>
      </c>
      <c r="W9" s="18">
        <f t="shared" si="0"/>
        <v>568689.69999999995</v>
      </c>
      <c r="X9" s="18">
        <f t="shared" si="0"/>
        <v>916.5</v>
      </c>
      <c r="Y9" s="18">
        <f t="shared" si="0"/>
        <v>273215.81570560002</v>
      </c>
      <c r="Z9" s="18">
        <f t="shared" si="0"/>
        <v>0</v>
      </c>
      <c r="AA9" s="18">
        <f t="shared" si="0"/>
        <v>0</v>
      </c>
      <c r="AB9" s="18">
        <f t="shared" si="0"/>
        <v>273215.81570560002</v>
      </c>
      <c r="AC9" s="18">
        <f t="shared" si="0"/>
        <v>0</v>
      </c>
      <c r="AD9" s="18">
        <f t="shared" si="0"/>
        <v>289171.3</v>
      </c>
      <c r="AE9" s="18">
        <f t="shared" si="0"/>
        <v>0</v>
      </c>
      <c r="AF9" s="18">
        <f t="shared" si="0"/>
        <v>0</v>
      </c>
      <c r="AG9" s="18">
        <f t="shared" si="0"/>
        <v>288738.3</v>
      </c>
      <c r="AH9" s="18">
        <f t="shared" si="0"/>
        <v>433</v>
      </c>
      <c r="AI9" s="18">
        <f t="shared" si="0"/>
        <v>212010.00000000003</v>
      </c>
      <c r="AJ9" s="18">
        <f t="shared" si="0"/>
        <v>0</v>
      </c>
      <c r="AK9" s="18">
        <f t="shared" si="0"/>
        <v>0</v>
      </c>
      <c r="AL9" s="18">
        <f t="shared" si="0"/>
        <v>212010.00000000003</v>
      </c>
      <c r="AM9" s="18">
        <f t="shared" si="0"/>
        <v>0</v>
      </c>
    </row>
    <row r="10" spans="1:40" s="5" customFormat="1" ht="59.25" customHeight="1" x14ac:dyDescent="0.25">
      <c r="A10" s="138">
        <v>1</v>
      </c>
      <c r="B10" s="171" t="s">
        <v>7</v>
      </c>
      <c r="C10" s="172"/>
      <c r="D10" s="172"/>
      <c r="E10" s="18">
        <f t="shared" ref="E10:AM10" si="1">E11+E28+E82+E94+E97+E104+E112</f>
        <v>260355.20000000001</v>
      </c>
      <c r="F10" s="18">
        <f t="shared" si="1"/>
        <v>0</v>
      </c>
      <c r="G10" s="18">
        <f t="shared" si="1"/>
        <v>6170.3</v>
      </c>
      <c r="H10" s="18">
        <f t="shared" si="1"/>
        <v>254184.9</v>
      </c>
      <c r="I10" s="18">
        <f t="shared" si="1"/>
        <v>0</v>
      </c>
      <c r="J10" s="18">
        <f t="shared" si="1"/>
        <v>57541.299999999996</v>
      </c>
      <c r="K10" s="18">
        <f t="shared" si="1"/>
        <v>0</v>
      </c>
      <c r="L10" s="18">
        <f t="shared" si="1"/>
        <v>6170.3</v>
      </c>
      <c r="M10" s="18">
        <f t="shared" si="1"/>
        <v>51370.999999999993</v>
      </c>
      <c r="N10" s="18">
        <f t="shared" si="1"/>
        <v>0</v>
      </c>
      <c r="O10" s="18">
        <f t="shared" si="1"/>
        <v>53462.3</v>
      </c>
      <c r="P10" s="18">
        <f t="shared" si="1"/>
        <v>0</v>
      </c>
      <c r="Q10" s="18">
        <f t="shared" si="1"/>
        <v>0</v>
      </c>
      <c r="R10" s="18">
        <f t="shared" si="1"/>
        <v>53462.3</v>
      </c>
      <c r="S10" s="18">
        <f t="shared" si="1"/>
        <v>0</v>
      </c>
      <c r="T10" s="18">
        <f t="shared" si="1"/>
        <v>47223.4</v>
      </c>
      <c r="U10" s="18">
        <f t="shared" si="1"/>
        <v>0</v>
      </c>
      <c r="V10" s="18">
        <f t="shared" si="1"/>
        <v>0</v>
      </c>
      <c r="W10" s="18">
        <f t="shared" si="1"/>
        <v>47223.4</v>
      </c>
      <c r="X10" s="18">
        <f t="shared" si="1"/>
        <v>0</v>
      </c>
      <c r="Y10" s="18">
        <f t="shared" si="1"/>
        <v>68290.600000000006</v>
      </c>
      <c r="Z10" s="18">
        <f t="shared" si="1"/>
        <v>0</v>
      </c>
      <c r="AA10" s="18">
        <f t="shared" si="1"/>
        <v>0</v>
      </c>
      <c r="AB10" s="18">
        <f t="shared" si="1"/>
        <v>68290.600000000006</v>
      </c>
      <c r="AC10" s="18">
        <f t="shared" si="1"/>
        <v>0</v>
      </c>
      <c r="AD10" s="18">
        <f t="shared" si="1"/>
        <v>33837.600000000006</v>
      </c>
      <c r="AE10" s="18">
        <f t="shared" si="1"/>
        <v>0</v>
      </c>
      <c r="AF10" s="18">
        <f t="shared" si="1"/>
        <v>0</v>
      </c>
      <c r="AG10" s="18">
        <f t="shared" si="1"/>
        <v>33837.600000000006</v>
      </c>
      <c r="AH10" s="18">
        <f t="shared" si="1"/>
        <v>0</v>
      </c>
      <c r="AI10" s="18">
        <f t="shared" si="1"/>
        <v>0</v>
      </c>
      <c r="AJ10" s="18">
        <f t="shared" si="1"/>
        <v>0</v>
      </c>
      <c r="AK10" s="18">
        <f t="shared" si="1"/>
        <v>0</v>
      </c>
      <c r="AL10" s="18">
        <f t="shared" si="1"/>
        <v>0</v>
      </c>
      <c r="AM10" s="18">
        <f t="shared" si="1"/>
        <v>0</v>
      </c>
    </row>
    <row r="11" spans="1:40" s="5" customFormat="1" outlineLevel="1" x14ac:dyDescent="0.25">
      <c r="A11" s="138" t="s">
        <v>137</v>
      </c>
      <c r="B11" s="173" t="s">
        <v>43</v>
      </c>
      <c r="C11" s="174"/>
      <c r="D11" s="174"/>
      <c r="E11" s="18">
        <f>SUM(E12:E27)</f>
        <v>110305.20000000001</v>
      </c>
      <c r="F11" s="18">
        <f t="shared" ref="F11:AM11" si="2">SUM(F12:F27)</f>
        <v>0</v>
      </c>
      <c r="G11" s="18">
        <f t="shared" si="2"/>
        <v>6170.3</v>
      </c>
      <c r="H11" s="18">
        <f t="shared" si="2"/>
        <v>104134.90000000001</v>
      </c>
      <c r="I11" s="18">
        <f t="shared" si="2"/>
        <v>0</v>
      </c>
      <c r="J11" s="18">
        <f t="shared" si="2"/>
        <v>31196.6</v>
      </c>
      <c r="K11" s="18">
        <f t="shared" si="2"/>
        <v>0</v>
      </c>
      <c r="L11" s="18">
        <f t="shared" si="2"/>
        <v>6170.3</v>
      </c>
      <c r="M11" s="18">
        <f t="shared" si="2"/>
        <v>25026.299999999996</v>
      </c>
      <c r="N11" s="18">
        <f t="shared" si="2"/>
        <v>0</v>
      </c>
      <c r="O11" s="18">
        <f t="shared" si="2"/>
        <v>18432.900000000001</v>
      </c>
      <c r="P11" s="18">
        <f t="shared" si="2"/>
        <v>0</v>
      </c>
      <c r="Q11" s="18">
        <f t="shared" si="2"/>
        <v>0</v>
      </c>
      <c r="R11" s="18">
        <f t="shared" si="2"/>
        <v>18432.900000000001</v>
      </c>
      <c r="S11" s="18">
        <f t="shared" si="2"/>
        <v>0</v>
      </c>
      <c r="T11" s="18">
        <f t="shared" si="2"/>
        <v>5478.8</v>
      </c>
      <c r="U11" s="18">
        <f t="shared" si="2"/>
        <v>0</v>
      </c>
      <c r="V11" s="18">
        <f t="shared" si="2"/>
        <v>0</v>
      </c>
      <c r="W11" s="18">
        <f t="shared" si="2"/>
        <v>5478.8</v>
      </c>
      <c r="X11" s="18">
        <f t="shared" si="2"/>
        <v>0</v>
      </c>
      <c r="Y11" s="18">
        <f t="shared" si="2"/>
        <v>45823.7</v>
      </c>
      <c r="Z11" s="18">
        <f t="shared" si="2"/>
        <v>0</v>
      </c>
      <c r="AA11" s="18">
        <f t="shared" si="2"/>
        <v>0</v>
      </c>
      <c r="AB11" s="18">
        <f t="shared" si="2"/>
        <v>45823.7</v>
      </c>
      <c r="AC11" s="18">
        <f t="shared" si="2"/>
        <v>0</v>
      </c>
      <c r="AD11" s="18">
        <f t="shared" si="2"/>
        <v>9373.2000000000007</v>
      </c>
      <c r="AE11" s="18">
        <f t="shared" si="2"/>
        <v>0</v>
      </c>
      <c r="AF11" s="18">
        <f t="shared" si="2"/>
        <v>0</v>
      </c>
      <c r="AG11" s="18">
        <f t="shared" si="2"/>
        <v>9373.2000000000007</v>
      </c>
      <c r="AH11" s="18">
        <f t="shared" si="2"/>
        <v>0</v>
      </c>
      <c r="AI11" s="18">
        <f t="shared" si="2"/>
        <v>0</v>
      </c>
      <c r="AJ11" s="18">
        <f t="shared" si="2"/>
        <v>0</v>
      </c>
      <c r="AK11" s="18">
        <f t="shared" si="2"/>
        <v>0</v>
      </c>
      <c r="AL11" s="18">
        <f t="shared" si="2"/>
        <v>0</v>
      </c>
      <c r="AM11" s="18">
        <f t="shared" si="2"/>
        <v>0</v>
      </c>
    </row>
    <row r="12" spans="1:40" s="2" customFormat="1" ht="47.25" outlineLevel="2" x14ac:dyDescent="0.25">
      <c r="A12" s="8" t="s">
        <v>74</v>
      </c>
      <c r="B12" s="25" t="s">
        <v>68</v>
      </c>
      <c r="C12" s="26" t="s">
        <v>31</v>
      </c>
      <c r="D12" s="26" t="s">
        <v>8</v>
      </c>
      <c r="E12" s="20">
        <f t="shared" ref="E12:E26" si="3">SUM(F12:I12)</f>
        <v>9800.5</v>
      </c>
      <c r="F12" s="38">
        <f>K12+P12+U12</f>
        <v>0</v>
      </c>
      <c r="G12" s="38">
        <f t="shared" ref="G12:I18" si="4">L12+Q12+V12+AA12+AF12+AK12</f>
        <v>0</v>
      </c>
      <c r="H12" s="38">
        <f t="shared" si="4"/>
        <v>9800.5</v>
      </c>
      <c r="I12" s="38">
        <f t="shared" si="4"/>
        <v>0</v>
      </c>
      <c r="J12" s="18">
        <f t="shared" ref="J12:J26" si="5">SUM(K12:N12)</f>
        <v>9800.5</v>
      </c>
      <c r="K12" s="19">
        <v>0</v>
      </c>
      <c r="L12" s="19">
        <v>0</v>
      </c>
      <c r="M12" s="19">
        <f>9791.8+8.7</f>
        <v>9800.5</v>
      </c>
      <c r="N12" s="19">
        <v>0</v>
      </c>
      <c r="O12" s="18">
        <f t="shared" ref="O12:O18" si="6">SUM(P12:S12)</f>
        <v>0</v>
      </c>
      <c r="P12" s="19">
        <v>0</v>
      </c>
      <c r="Q12" s="19">
        <v>0</v>
      </c>
      <c r="R12" s="19">
        <v>0</v>
      </c>
      <c r="S12" s="19">
        <v>0</v>
      </c>
      <c r="T12" s="18">
        <f t="shared" ref="T12:T24" si="7">SUM(U12:X12)</f>
        <v>0</v>
      </c>
      <c r="U12" s="19">
        <v>0</v>
      </c>
      <c r="V12" s="19">
        <v>0</v>
      </c>
      <c r="W12" s="19">
        <v>0</v>
      </c>
      <c r="X12" s="19">
        <v>0</v>
      </c>
      <c r="Y12" s="18">
        <f t="shared" ref="Y12:Y18" si="8">SUM(Z12:AC12)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 t="shared" ref="AD12:AD17" si="9">SUM(AE12:AH12)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7" si="10">SUM(AJ12:AM12)</f>
        <v>0</v>
      </c>
      <c r="AJ12" s="19">
        <v>0</v>
      </c>
      <c r="AK12" s="19">
        <v>0</v>
      </c>
      <c r="AL12" s="19">
        <v>0</v>
      </c>
      <c r="AM12" s="19">
        <v>0</v>
      </c>
    </row>
    <row r="13" spans="1:40" s="2" customFormat="1" ht="47.25" outlineLevel="2" x14ac:dyDescent="0.25">
      <c r="A13" s="8" t="s">
        <v>75</v>
      </c>
      <c r="B13" s="25" t="s">
        <v>69</v>
      </c>
      <c r="C13" s="26" t="s">
        <v>31</v>
      </c>
      <c r="D13" s="26" t="s">
        <v>8</v>
      </c>
      <c r="E13" s="20">
        <f t="shared" si="3"/>
        <v>1316.3999999999999</v>
      </c>
      <c r="F13" s="38">
        <f>K13+P13+U13</f>
        <v>0</v>
      </c>
      <c r="G13" s="38">
        <f t="shared" si="4"/>
        <v>0</v>
      </c>
      <c r="H13" s="38">
        <f t="shared" si="4"/>
        <v>1316.3999999999999</v>
      </c>
      <c r="I13" s="38">
        <f t="shared" si="4"/>
        <v>0</v>
      </c>
      <c r="J13" s="18">
        <f t="shared" si="5"/>
        <v>1253.3</v>
      </c>
      <c r="K13" s="19">
        <v>0</v>
      </c>
      <c r="L13" s="19">
        <v>0</v>
      </c>
      <c r="M13" s="19">
        <v>1253.3</v>
      </c>
      <c r="N13" s="19">
        <v>0</v>
      </c>
      <c r="O13" s="18">
        <f t="shared" si="6"/>
        <v>63.1</v>
      </c>
      <c r="P13" s="19">
        <v>0</v>
      </c>
      <c r="Q13" s="19">
        <v>0</v>
      </c>
      <c r="R13" s="19">
        <v>63.1</v>
      </c>
      <c r="S13" s="19">
        <v>0</v>
      </c>
      <c r="T13" s="18">
        <f t="shared" si="7"/>
        <v>0</v>
      </c>
      <c r="U13" s="19">
        <v>0</v>
      </c>
      <c r="V13" s="19"/>
      <c r="W13" s="19">
        <v>0</v>
      </c>
      <c r="X13" s="19">
        <v>0</v>
      </c>
      <c r="Y13" s="18">
        <f t="shared" si="8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9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0"/>
        <v>0</v>
      </c>
      <c r="AJ13" s="19">
        <v>0</v>
      </c>
      <c r="AK13" s="19">
        <v>0</v>
      </c>
      <c r="AL13" s="19">
        <v>0</v>
      </c>
      <c r="AM13" s="19">
        <v>0</v>
      </c>
    </row>
    <row r="14" spans="1:40" s="2" customFormat="1" ht="78.75" outlineLevel="2" x14ac:dyDescent="0.25">
      <c r="A14" s="8" t="s">
        <v>76</v>
      </c>
      <c r="B14" s="25" t="s">
        <v>117</v>
      </c>
      <c r="C14" s="26" t="s">
        <v>377</v>
      </c>
      <c r="D14" s="26" t="s">
        <v>8</v>
      </c>
      <c r="E14" s="20">
        <f t="shared" si="3"/>
        <v>15299.899999999998</v>
      </c>
      <c r="F14" s="38">
        <f>K14+P14+U14</f>
        <v>0</v>
      </c>
      <c r="G14" s="38">
        <f t="shared" si="4"/>
        <v>6170.3</v>
      </c>
      <c r="H14" s="38">
        <f t="shared" si="4"/>
        <v>9129.5999999999985</v>
      </c>
      <c r="I14" s="38">
        <f t="shared" si="4"/>
        <v>0</v>
      </c>
      <c r="J14" s="18">
        <f t="shared" si="5"/>
        <v>15299.899999999998</v>
      </c>
      <c r="K14" s="19">
        <v>0</v>
      </c>
      <c r="L14" s="19">
        <v>6170.3</v>
      </c>
      <c r="M14" s="19">
        <f>8938.8+190.8</f>
        <v>9129.5999999999985</v>
      </c>
      <c r="N14" s="19">
        <v>0</v>
      </c>
      <c r="O14" s="18">
        <f t="shared" si="6"/>
        <v>0</v>
      </c>
      <c r="P14" s="19">
        <v>0</v>
      </c>
      <c r="Q14" s="19">
        <v>0</v>
      </c>
      <c r="R14" s="19">
        <v>0</v>
      </c>
      <c r="S14" s="19">
        <v>0</v>
      </c>
      <c r="T14" s="18">
        <f t="shared" si="7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8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9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0"/>
        <v>0</v>
      </c>
      <c r="AJ14" s="19">
        <v>0</v>
      </c>
      <c r="AK14" s="19">
        <v>0</v>
      </c>
      <c r="AL14" s="19">
        <v>0</v>
      </c>
      <c r="AM14" s="19">
        <v>0</v>
      </c>
    </row>
    <row r="15" spans="1:40" s="2" customFormat="1" ht="78.75" outlineLevel="2" x14ac:dyDescent="0.25">
      <c r="A15" s="8" t="s">
        <v>442</v>
      </c>
      <c r="B15" s="25" t="s">
        <v>981</v>
      </c>
      <c r="C15" s="26" t="s">
        <v>32</v>
      </c>
      <c r="D15" s="26" t="s">
        <v>8</v>
      </c>
      <c r="E15" s="20">
        <f t="shared" si="3"/>
        <v>19140.2</v>
      </c>
      <c r="F15" s="38">
        <f>V15</f>
        <v>0</v>
      </c>
      <c r="G15" s="38">
        <f t="shared" si="4"/>
        <v>0</v>
      </c>
      <c r="H15" s="38">
        <f t="shared" si="4"/>
        <v>19140.2</v>
      </c>
      <c r="I15" s="38">
        <f t="shared" si="4"/>
        <v>0</v>
      </c>
      <c r="J15" s="18">
        <f t="shared" si="5"/>
        <v>0</v>
      </c>
      <c r="K15" s="19">
        <v>0</v>
      </c>
      <c r="L15" s="19">
        <v>0</v>
      </c>
      <c r="M15" s="19">
        <v>0</v>
      </c>
      <c r="N15" s="19">
        <v>0</v>
      </c>
      <c r="O15" s="18">
        <f t="shared" si="6"/>
        <v>0</v>
      </c>
      <c r="P15" s="19">
        <v>0</v>
      </c>
      <c r="Q15" s="19">
        <v>0</v>
      </c>
      <c r="R15" s="19">
        <v>0</v>
      </c>
      <c r="S15" s="19">
        <v>0</v>
      </c>
      <c r="T15" s="18">
        <f t="shared" si="7"/>
        <v>0</v>
      </c>
      <c r="U15" s="19">
        <v>0</v>
      </c>
      <c r="V15" s="19">
        <v>0</v>
      </c>
      <c r="W15" s="19">
        <v>0</v>
      </c>
      <c r="X15" s="19">
        <v>0</v>
      </c>
      <c r="Y15" s="18">
        <f t="shared" si="8"/>
        <v>19140.2</v>
      </c>
      <c r="Z15" s="19">
        <v>0</v>
      </c>
      <c r="AA15" s="19">
        <v>0</v>
      </c>
      <c r="AB15" s="19">
        <v>19140.2</v>
      </c>
      <c r="AC15" s="19">
        <v>0</v>
      </c>
      <c r="AD15" s="18">
        <f t="shared" si="9"/>
        <v>0</v>
      </c>
      <c r="AE15" s="19">
        <v>0</v>
      </c>
      <c r="AF15" s="19">
        <v>0</v>
      </c>
      <c r="AG15" s="19">
        <v>0</v>
      </c>
      <c r="AH15" s="19">
        <v>0</v>
      </c>
      <c r="AI15" s="18">
        <f t="shared" si="10"/>
        <v>0</v>
      </c>
      <c r="AJ15" s="19">
        <v>0</v>
      </c>
      <c r="AK15" s="19">
        <v>0</v>
      </c>
      <c r="AL15" s="19">
        <v>0</v>
      </c>
      <c r="AM15" s="19">
        <v>0</v>
      </c>
    </row>
    <row r="16" spans="1:40" s="2" customFormat="1" ht="78.75" outlineLevel="2" x14ac:dyDescent="0.25">
      <c r="A16" s="8" t="s">
        <v>443</v>
      </c>
      <c r="B16" s="25" t="s">
        <v>73</v>
      </c>
      <c r="C16" s="26" t="s">
        <v>377</v>
      </c>
      <c r="D16" s="26" t="s">
        <v>8</v>
      </c>
      <c r="E16" s="20">
        <f t="shared" si="3"/>
        <v>4842.8999999999996</v>
      </c>
      <c r="F16" s="38">
        <f>K16+P16+U16+Z16+AE16+AJ16</f>
        <v>0</v>
      </c>
      <c r="G16" s="38">
        <f t="shared" si="4"/>
        <v>0</v>
      </c>
      <c r="H16" s="38">
        <f t="shared" si="4"/>
        <v>4842.8999999999996</v>
      </c>
      <c r="I16" s="38">
        <f t="shared" si="4"/>
        <v>0</v>
      </c>
      <c r="J16" s="18">
        <f t="shared" si="5"/>
        <v>4842.8999999999996</v>
      </c>
      <c r="K16" s="19">
        <v>0</v>
      </c>
      <c r="L16" s="19">
        <v>0</v>
      </c>
      <c r="M16" s="19">
        <f>1208+3634.9</f>
        <v>4842.8999999999996</v>
      </c>
      <c r="N16" s="19">
        <v>0</v>
      </c>
      <c r="O16" s="18">
        <f t="shared" si="6"/>
        <v>0</v>
      </c>
      <c r="P16" s="19">
        <v>0</v>
      </c>
      <c r="Q16" s="19">
        <v>0</v>
      </c>
      <c r="R16" s="19">
        <v>0</v>
      </c>
      <c r="S16" s="19">
        <v>0</v>
      </c>
      <c r="T16" s="18">
        <f t="shared" si="7"/>
        <v>0</v>
      </c>
      <c r="U16" s="19">
        <v>0</v>
      </c>
      <c r="V16" s="19">
        <v>0</v>
      </c>
      <c r="W16" s="19">
        <v>0</v>
      </c>
      <c r="X16" s="19">
        <v>0</v>
      </c>
      <c r="Y16" s="18">
        <f t="shared" si="8"/>
        <v>0</v>
      </c>
      <c r="Z16" s="19">
        <v>0</v>
      </c>
      <c r="AA16" s="19">
        <v>0</v>
      </c>
      <c r="AB16" s="19">
        <v>0</v>
      </c>
      <c r="AC16" s="19">
        <v>0</v>
      </c>
      <c r="AD16" s="18">
        <f t="shared" si="9"/>
        <v>0</v>
      </c>
      <c r="AE16" s="19">
        <v>0</v>
      </c>
      <c r="AF16" s="19">
        <v>0</v>
      </c>
      <c r="AG16" s="19">
        <v>0</v>
      </c>
      <c r="AH16" s="19">
        <v>0</v>
      </c>
      <c r="AI16" s="18">
        <f t="shared" si="10"/>
        <v>0</v>
      </c>
      <c r="AJ16" s="19">
        <v>0</v>
      </c>
      <c r="AK16" s="19">
        <v>0</v>
      </c>
      <c r="AL16" s="19">
        <v>0</v>
      </c>
      <c r="AM16" s="19">
        <v>0</v>
      </c>
    </row>
    <row r="17" spans="1:39" s="2" customFormat="1" ht="63" outlineLevel="2" x14ac:dyDescent="0.25">
      <c r="A17" s="8" t="s">
        <v>444</v>
      </c>
      <c r="B17" s="25" t="s">
        <v>460</v>
      </c>
      <c r="C17" s="26" t="s">
        <v>32</v>
      </c>
      <c r="D17" s="26" t="s">
        <v>118</v>
      </c>
      <c r="E17" s="20">
        <f t="shared" si="3"/>
        <v>10672.1</v>
      </c>
      <c r="F17" s="38">
        <f>K17+P17+U17+Z17+AE17+AJ17</f>
        <v>0</v>
      </c>
      <c r="G17" s="38">
        <f t="shared" si="4"/>
        <v>0</v>
      </c>
      <c r="H17" s="38">
        <f t="shared" si="4"/>
        <v>10672.1</v>
      </c>
      <c r="I17" s="38">
        <f t="shared" si="4"/>
        <v>0</v>
      </c>
      <c r="J17" s="18">
        <f t="shared" si="5"/>
        <v>0</v>
      </c>
      <c r="K17" s="19">
        <v>0</v>
      </c>
      <c r="L17" s="19">
        <v>0</v>
      </c>
      <c r="M17" s="19">
        <v>0</v>
      </c>
      <c r="N17" s="19">
        <v>0</v>
      </c>
      <c r="O17" s="18">
        <f t="shared" si="6"/>
        <v>0</v>
      </c>
      <c r="P17" s="19">
        <v>0</v>
      </c>
      <c r="Q17" s="19">
        <v>0</v>
      </c>
      <c r="R17" s="19">
        <v>0</v>
      </c>
      <c r="S17" s="19">
        <v>0</v>
      </c>
      <c r="T17" s="18">
        <f t="shared" si="7"/>
        <v>0</v>
      </c>
      <c r="U17" s="19">
        <v>0</v>
      </c>
      <c r="V17" s="19">
        <v>0</v>
      </c>
      <c r="W17" s="19">
        <v>0</v>
      </c>
      <c r="X17" s="19">
        <v>0</v>
      </c>
      <c r="Y17" s="18">
        <f t="shared" si="8"/>
        <v>10672.1</v>
      </c>
      <c r="Z17" s="19">
        <v>0</v>
      </c>
      <c r="AA17" s="19">
        <v>0</v>
      </c>
      <c r="AB17" s="19">
        <v>10672.1</v>
      </c>
      <c r="AC17" s="19">
        <v>0</v>
      </c>
      <c r="AD17" s="18">
        <f t="shared" si="9"/>
        <v>0</v>
      </c>
      <c r="AE17" s="19">
        <v>0</v>
      </c>
      <c r="AF17" s="19">
        <v>0</v>
      </c>
      <c r="AG17" s="19">
        <v>0</v>
      </c>
      <c r="AH17" s="19">
        <v>0</v>
      </c>
      <c r="AI17" s="18">
        <f t="shared" si="10"/>
        <v>0</v>
      </c>
      <c r="AJ17" s="19">
        <v>0</v>
      </c>
      <c r="AK17" s="19">
        <v>0</v>
      </c>
      <c r="AL17" s="19">
        <v>0</v>
      </c>
      <c r="AM17" s="19">
        <v>0</v>
      </c>
    </row>
    <row r="18" spans="1:39" s="2" customFormat="1" ht="86.25" customHeight="1" outlineLevel="2" x14ac:dyDescent="0.25">
      <c r="A18" s="8" t="s">
        <v>77</v>
      </c>
      <c r="B18" s="25" t="s">
        <v>983</v>
      </c>
      <c r="C18" s="26" t="s">
        <v>32</v>
      </c>
      <c r="D18" s="26" t="s">
        <v>8</v>
      </c>
      <c r="E18" s="20">
        <f t="shared" si="3"/>
        <v>9373.2000000000007</v>
      </c>
      <c r="F18" s="38">
        <f>K18+P18+U18+Z18+AE18+AJ18</f>
        <v>0</v>
      </c>
      <c r="G18" s="38">
        <f t="shared" si="4"/>
        <v>0</v>
      </c>
      <c r="H18" s="38">
        <f t="shared" si="4"/>
        <v>9373.2000000000007</v>
      </c>
      <c r="I18" s="38">
        <f t="shared" si="4"/>
        <v>0</v>
      </c>
      <c r="J18" s="18">
        <f t="shared" si="5"/>
        <v>0</v>
      </c>
      <c r="K18" s="19">
        <v>0</v>
      </c>
      <c r="L18" s="19">
        <v>0</v>
      </c>
      <c r="M18" s="19">
        <v>0</v>
      </c>
      <c r="N18" s="19">
        <v>0</v>
      </c>
      <c r="O18" s="18">
        <f t="shared" si="6"/>
        <v>0</v>
      </c>
      <c r="P18" s="19">
        <v>0</v>
      </c>
      <c r="Q18" s="19">
        <v>0</v>
      </c>
      <c r="R18" s="19">
        <v>0</v>
      </c>
      <c r="S18" s="19">
        <v>0</v>
      </c>
      <c r="T18" s="18">
        <f t="shared" si="7"/>
        <v>0</v>
      </c>
      <c r="U18" s="19">
        <v>0</v>
      </c>
      <c r="V18" s="19">
        <v>0</v>
      </c>
      <c r="W18" s="19">
        <v>0</v>
      </c>
      <c r="X18" s="19">
        <v>0</v>
      </c>
      <c r="Y18" s="18">
        <f t="shared" si="8"/>
        <v>0</v>
      </c>
      <c r="Z18" s="19">
        <v>0</v>
      </c>
      <c r="AA18" s="19">
        <v>0</v>
      </c>
      <c r="AB18" s="19">
        <v>0</v>
      </c>
      <c r="AC18" s="19">
        <v>0</v>
      </c>
      <c r="AD18" s="18">
        <f>SUM(AE18:AH18)</f>
        <v>9373.2000000000007</v>
      </c>
      <c r="AE18" s="19">
        <v>0</v>
      </c>
      <c r="AF18" s="19">
        <v>0</v>
      </c>
      <c r="AG18" s="19">
        <v>9373.2000000000007</v>
      </c>
      <c r="AH18" s="19">
        <v>0</v>
      </c>
      <c r="AI18" s="18">
        <f>SUM(AJ18:AM18)</f>
        <v>0</v>
      </c>
      <c r="AJ18" s="19">
        <v>0</v>
      </c>
      <c r="AK18" s="19">
        <v>0</v>
      </c>
      <c r="AL18" s="19">
        <v>0</v>
      </c>
      <c r="AM18" s="19">
        <v>0</v>
      </c>
    </row>
    <row r="19" spans="1:39" s="2" customFormat="1" ht="78.75" outlineLevel="2" x14ac:dyDescent="0.25">
      <c r="A19" s="8" t="s">
        <v>78</v>
      </c>
      <c r="B19" s="27" t="s">
        <v>473</v>
      </c>
      <c r="C19" s="26" t="s">
        <v>32</v>
      </c>
      <c r="D19" s="26" t="s">
        <v>118</v>
      </c>
      <c r="E19" s="20">
        <f t="shared" si="3"/>
        <v>4390.1000000000004</v>
      </c>
      <c r="F19" s="38">
        <f t="shared" ref="F19:G23" si="11">K19+P19+U19+Z19+AE19+AJ19</f>
        <v>0</v>
      </c>
      <c r="G19" s="38">
        <f t="shared" si="11"/>
        <v>0</v>
      </c>
      <c r="H19" s="38">
        <f t="shared" ref="H19:H26" si="12">M19+R19+W19+AB19+AG19+AL19</f>
        <v>4390.1000000000004</v>
      </c>
      <c r="I19" s="38">
        <f t="shared" ref="I19:I26" si="13">N19+S19+X19+AC19+AH19+AM19</f>
        <v>0</v>
      </c>
      <c r="J19" s="18">
        <f t="shared" si="5"/>
        <v>0</v>
      </c>
      <c r="K19" s="19">
        <v>0</v>
      </c>
      <c r="L19" s="19">
        <v>0</v>
      </c>
      <c r="M19" s="19">
        <v>0</v>
      </c>
      <c r="N19" s="19">
        <v>0</v>
      </c>
      <c r="O19" s="18">
        <f t="shared" ref="O19:O26" si="14">R19</f>
        <v>4390.1000000000004</v>
      </c>
      <c r="P19" s="19">
        <v>0</v>
      </c>
      <c r="Q19" s="19">
        <v>0</v>
      </c>
      <c r="R19" s="113">
        <f>4390.1</f>
        <v>4390.1000000000004</v>
      </c>
      <c r="S19" s="19">
        <v>0</v>
      </c>
      <c r="T19" s="18">
        <f t="shared" si="7"/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</row>
    <row r="20" spans="1:39" s="2" customFormat="1" ht="78.75" outlineLevel="2" x14ac:dyDescent="0.25">
      <c r="A20" s="8" t="s">
        <v>400</v>
      </c>
      <c r="B20" s="27" t="s">
        <v>474</v>
      </c>
      <c r="C20" s="26" t="s">
        <v>32</v>
      </c>
      <c r="D20" s="26" t="s">
        <v>118</v>
      </c>
      <c r="E20" s="20">
        <f t="shared" si="3"/>
        <v>4390.1000000000004</v>
      </c>
      <c r="F20" s="38">
        <f t="shared" si="11"/>
        <v>0</v>
      </c>
      <c r="G20" s="38">
        <f t="shared" si="11"/>
        <v>0</v>
      </c>
      <c r="H20" s="38">
        <f t="shared" si="12"/>
        <v>4390.1000000000004</v>
      </c>
      <c r="I20" s="38">
        <f t="shared" si="13"/>
        <v>0</v>
      </c>
      <c r="J20" s="18">
        <f t="shared" si="5"/>
        <v>0</v>
      </c>
      <c r="K20" s="19">
        <v>0</v>
      </c>
      <c r="L20" s="19">
        <v>0</v>
      </c>
      <c r="M20" s="19">
        <v>0</v>
      </c>
      <c r="N20" s="19">
        <v>0</v>
      </c>
      <c r="O20" s="18">
        <f t="shared" si="14"/>
        <v>4390.1000000000004</v>
      </c>
      <c r="P20" s="19">
        <v>0</v>
      </c>
      <c r="Q20" s="19">
        <v>0</v>
      </c>
      <c r="R20" s="113">
        <f>4390.1</f>
        <v>4390.1000000000004</v>
      </c>
      <c r="S20" s="19">
        <v>0</v>
      </c>
      <c r="T20" s="18">
        <f t="shared" si="7"/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</row>
    <row r="21" spans="1:39" s="2" customFormat="1" ht="78.75" outlineLevel="2" x14ac:dyDescent="0.25">
      <c r="A21" s="8" t="s">
        <v>404</v>
      </c>
      <c r="B21" s="27" t="s">
        <v>475</v>
      </c>
      <c r="C21" s="26" t="s">
        <v>32</v>
      </c>
      <c r="D21" s="26" t="s">
        <v>118</v>
      </c>
      <c r="E21" s="20">
        <f t="shared" si="3"/>
        <v>4390.1000000000004</v>
      </c>
      <c r="F21" s="38">
        <f t="shared" si="11"/>
        <v>0</v>
      </c>
      <c r="G21" s="38">
        <f t="shared" si="11"/>
        <v>0</v>
      </c>
      <c r="H21" s="38">
        <f t="shared" si="12"/>
        <v>4390.1000000000004</v>
      </c>
      <c r="I21" s="38">
        <f t="shared" si="13"/>
        <v>0</v>
      </c>
      <c r="J21" s="18">
        <f t="shared" si="5"/>
        <v>0</v>
      </c>
      <c r="K21" s="19">
        <v>0</v>
      </c>
      <c r="L21" s="19">
        <v>0</v>
      </c>
      <c r="M21" s="19">
        <v>0</v>
      </c>
      <c r="N21" s="19">
        <v>0</v>
      </c>
      <c r="O21" s="18">
        <f t="shared" si="14"/>
        <v>4390.1000000000004</v>
      </c>
      <c r="P21" s="19">
        <v>0</v>
      </c>
      <c r="Q21" s="19">
        <v>0</v>
      </c>
      <c r="R21" s="113">
        <f>4390.1</f>
        <v>4390.1000000000004</v>
      </c>
      <c r="S21" s="19">
        <v>0</v>
      </c>
      <c r="T21" s="18">
        <f t="shared" si="7"/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</row>
    <row r="22" spans="1:39" s="2" customFormat="1" ht="78.75" outlineLevel="2" x14ac:dyDescent="0.25">
      <c r="A22" s="8" t="s">
        <v>405</v>
      </c>
      <c r="B22" s="27" t="s">
        <v>476</v>
      </c>
      <c r="C22" s="26" t="s">
        <v>32</v>
      </c>
      <c r="D22" s="26" t="s">
        <v>118</v>
      </c>
      <c r="E22" s="20">
        <f t="shared" si="3"/>
        <v>4390.1000000000004</v>
      </c>
      <c r="F22" s="38">
        <f>K22+P22+U22+Z22+AE22+AJ22</f>
        <v>0</v>
      </c>
      <c r="G22" s="38">
        <f>L22+Q22+V22+AA22+AF22+AK22</f>
        <v>0</v>
      </c>
      <c r="H22" s="38">
        <f t="shared" si="12"/>
        <v>4390.1000000000004</v>
      </c>
      <c r="I22" s="38">
        <f>N22+S22+X22+AC22+AH22+AM22</f>
        <v>0</v>
      </c>
      <c r="J22" s="18">
        <f t="shared" si="5"/>
        <v>0</v>
      </c>
      <c r="K22" s="19">
        <v>0</v>
      </c>
      <c r="L22" s="19">
        <v>0</v>
      </c>
      <c r="M22" s="19">
        <v>0</v>
      </c>
      <c r="N22" s="19">
        <v>0</v>
      </c>
      <c r="O22" s="18">
        <f t="shared" si="14"/>
        <v>4390.1000000000004</v>
      </c>
      <c r="P22" s="19">
        <v>0</v>
      </c>
      <c r="Q22" s="19">
        <v>0</v>
      </c>
      <c r="R22" s="113">
        <f>4390.1</f>
        <v>4390.1000000000004</v>
      </c>
      <c r="S22" s="19">
        <v>0</v>
      </c>
      <c r="T22" s="18">
        <f t="shared" si="7"/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</row>
    <row r="23" spans="1:39" s="2" customFormat="1" ht="47.25" outlineLevel="2" x14ac:dyDescent="0.25">
      <c r="A23" s="8" t="s">
        <v>477</v>
      </c>
      <c r="B23" s="27" t="s">
        <v>489</v>
      </c>
      <c r="C23" s="26" t="s">
        <v>32</v>
      </c>
      <c r="D23" s="26" t="s">
        <v>118</v>
      </c>
      <c r="E23" s="20">
        <f t="shared" si="3"/>
        <v>809.4</v>
      </c>
      <c r="F23" s="38">
        <f t="shared" si="11"/>
        <v>0</v>
      </c>
      <c r="G23" s="38">
        <f t="shared" si="11"/>
        <v>0</v>
      </c>
      <c r="H23" s="38">
        <f t="shared" si="12"/>
        <v>809.4</v>
      </c>
      <c r="I23" s="38">
        <f t="shared" si="13"/>
        <v>0</v>
      </c>
      <c r="J23" s="18">
        <f t="shared" si="5"/>
        <v>0</v>
      </c>
      <c r="K23" s="19">
        <v>0</v>
      </c>
      <c r="L23" s="19">
        <v>0</v>
      </c>
      <c r="M23" s="19">
        <v>0</v>
      </c>
      <c r="N23" s="19">
        <v>0</v>
      </c>
      <c r="O23" s="18">
        <f t="shared" si="14"/>
        <v>809.4</v>
      </c>
      <c r="P23" s="19">
        <v>0</v>
      </c>
      <c r="Q23" s="19">
        <v>0</v>
      </c>
      <c r="R23" s="113">
        <v>809.4</v>
      </c>
      <c r="S23" s="19">
        <v>0</v>
      </c>
      <c r="T23" s="18">
        <f t="shared" si="7"/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</row>
    <row r="24" spans="1:39" s="2" customFormat="1" ht="68.25" customHeight="1" outlineLevel="2" x14ac:dyDescent="0.25">
      <c r="A24" s="8" t="s">
        <v>478</v>
      </c>
      <c r="B24" s="30" t="s">
        <v>784</v>
      </c>
      <c r="C24" s="26" t="s">
        <v>32</v>
      </c>
      <c r="D24" s="26" t="s">
        <v>118</v>
      </c>
      <c r="E24" s="20">
        <f t="shared" si="3"/>
        <v>16011.399999999998</v>
      </c>
      <c r="F24" s="38">
        <f t="shared" ref="F24:G26" si="15">K24+P24+U24+Z24+AE24+AJ24</f>
        <v>0</v>
      </c>
      <c r="G24" s="38">
        <f t="shared" si="15"/>
        <v>0</v>
      </c>
      <c r="H24" s="38">
        <f t="shared" si="12"/>
        <v>16011.399999999998</v>
      </c>
      <c r="I24" s="38">
        <f t="shared" si="13"/>
        <v>0</v>
      </c>
      <c r="J24" s="18">
        <f t="shared" si="5"/>
        <v>0</v>
      </c>
      <c r="K24" s="19">
        <v>0</v>
      </c>
      <c r="L24" s="19">
        <v>0</v>
      </c>
      <c r="M24" s="19">
        <v>0</v>
      </c>
      <c r="N24" s="19">
        <v>0</v>
      </c>
      <c r="O24" s="18">
        <f t="shared" si="14"/>
        <v>0</v>
      </c>
      <c r="P24" s="19">
        <v>0</v>
      </c>
      <c r="Q24" s="19">
        <v>0</v>
      </c>
      <c r="R24" s="113">
        <v>0</v>
      </c>
      <c r="S24" s="19">
        <v>0</v>
      </c>
      <c r="T24" s="18">
        <f t="shared" si="7"/>
        <v>0</v>
      </c>
      <c r="U24" s="19">
        <v>0</v>
      </c>
      <c r="V24" s="19">
        <v>0</v>
      </c>
      <c r="W24" s="19">
        <v>0</v>
      </c>
      <c r="X24" s="19">
        <v>0</v>
      </c>
      <c r="Y24" s="19">
        <f>AB24</f>
        <v>16011.399999999998</v>
      </c>
      <c r="Z24" s="19">
        <v>0</v>
      </c>
      <c r="AA24" s="19">
        <v>0</v>
      </c>
      <c r="AB24" s="19">
        <f>18463.1-2451.7</f>
        <v>16011.399999999998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</row>
    <row r="25" spans="1:39" s="2" customFormat="1" ht="68.25" customHeight="1" outlineLevel="2" x14ac:dyDescent="0.25">
      <c r="A25" s="8" t="s">
        <v>843</v>
      </c>
      <c r="B25" s="30" t="s">
        <v>844</v>
      </c>
      <c r="C25" s="26" t="s">
        <v>32</v>
      </c>
      <c r="D25" s="26" t="s">
        <v>118</v>
      </c>
      <c r="E25" s="20">
        <f t="shared" si="3"/>
        <v>2350</v>
      </c>
      <c r="F25" s="38">
        <f t="shared" si="15"/>
        <v>0</v>
      </c>
      <c r="G25" s="38">
        <f t="shared" si="15"/>
        <v>0</v>
      </c>
      <c r="H25" s="38">
        <f t="shared" si="12"/>
        <v>2350</v>
      </c>
      <c r="I25" s="38">
        <f t="shared" si="13"/>
        <v>0</v>
      </c>
      <c r="J25" s="18">
        <f t="shared" si="5"/>
        <v>0</v>
      </c>
      <c r="K25" s="19">
        <v>0</v>
      </c>
      <c r="L25" s="19">
        <v>0</v>
      </c>
      <c r="M25" s="19">
        <v>0</v>
      </c>
      <c r="N25" s="19">
        <v>0</v>
      </c>
      <c r="O25" s="18">
        <f t="shared" si="14"/>
        <v>0</v>
      </c>
      <c r="P25" s="19">
        <v>0</v>
      </c>
      <c r="Q25" s="19">
        <v>0</v>
      </c>
      <c r="R25" s="113">
        <v>0</v>
      </c>
      <c r="S25" s="19">
        <v>0</v>
      </c>
      <c r="T25" s="18">
        <f>W25</f>
        <v>2350</v>
      </c>
      <c r="U25" s="19"/>
      <c r="V25" s="19">
        <v>0</v>
      </c>
      <c r="W25" s="19">
        <v>2350</v>
      </c>
      <c r="X25" s="19">
        <v>0</v>
      </c>
      <c r="Y25" s="19">
        <f>AB25</f>
        <v>0</v>
      </c>
      <c r="Z25" s="19"/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</row>
    <row r="26" spans="1:39" s="2" customFormat="1" ht="68.25" customHeight="1" outlineLevel="2" x14ac:dyDescent="0.25">
      <c r="A26" s="8" t="s">
        <v>939</v>
      </c>
      <c r="B26" s="30" t="s">
        <v>982</v>
      </c>
      <c r="C26" s="26" t="s">
        <v>32</v>
      </c>
      <c r="D26" s="26" t="s">
        <v>118</v>
      </c>
      <c r="E26" s="20">
        <f t="shared" si="3"/>
        <v>1628.8</v>
      </c>
      <c r="F26" s="38">
        <f t="shared" si="15"/>
        <v>0</v>
      </c>
      <c r="G26" s="38">
        <f t="shared" si="15"/>
        <v>0</v>
      </c>
      <c r="H26" s="38">
        <f t="shared" si="12"/>
        <v>1628.8</v>
      </c>
      <c r="I26" s="38">
        <f t="shared" si="13"/>
        <v>0</v>
      </c>
      <c r="J26" s="18">
        <f t="shared" si="5"/>
        <v>0</v>
      </c>
      <c r="K26" s="19">
        <v>0</v>
      </c>
      <c r="L26" s="19">
        <v>0</v>
      </c>
      <c r="M26" s="19">
        <v>0</v>
      </c>
      <c r="N26" s="19">
        <v>0</v>
      </c>
      <c r="O26" s="18">
        <f t="shared" si="14"/>
        <v>0</v>
      </c>
      <c r="P26" s="19">
        <v>0</v>
      </c>
      <c r="Q26" s="19">
        <v>0</v>
      </c>
      <c r="R26" s="113">
        <v>0</v>
      </c>
      <c r="S26" s="19">
        <v>0</v>
      </c>
      <c r="T26" s="18">
        <f>W26</f>
        <v>1628.8</v>
      </c>
      <c r="U26" s="19"/>
      <c r="V26" s="19">
        <v>0</v>
      </c>
      <c r="W26" s="19">
        <v>1628.8</v>
      </c>
      <c r="X26" s="19">
        <v>0</v>
      </c>
      <c r="Y26" s="19">
        <f>AB26</f>
        <v>0</v>
      </c>
      <c r="Z26" s="19"/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</row>
    <row r="27" spans="1:39" s="2" customFormat="1" ht="68.25" customHeight="1" outlineLevel="2" x14ac:dyDescent="0.25">
      <c r="A27" s="8" t="s">
        <v>966</v>
      </c>
      <c r="B27" s="123" t="s">
        <v>967</v>
      </c>
      <c r="C27" s="26" t="s">
        <v>32</v>
      </c>
      <c r="D27" s="26" t="s">
        <v>118</v>
      </c>
      <c r="E27" s="20">
        <f t="shared" ref="E27" si="16">SUM(F27:I27)</f>
        <v>1500</v>
      </c>
      <c r="F27" s="38">
        <f t="shared" ref="F27" si="17">K27+P27+U27+Z27+AE27+AJ27</f>
        <v>0</v>
      </c>
      <c r="G27" s="38">
        <f t="shared" ref="G27" si="18">L27+Q27+V27+AA27+AF27+AK27</f>
        <v>0</v>
      </c>
      <c r="H27" s="38">
        <f t="shared" ref="H27" si="19">M27+R27+W27+AB27+AG27+AL27</f>
        <v>1500</v>
      </c>
      <c r="I27" s="38">
        <f t="shared" ref="I27" si="20">N27+S27+X27+AC27+AH27+AM27</f>
        <v>0</v>
      </c>
      <c r="J27" s="18">
        <f t="shared" ref="J27" si="21">SUM(K27:N27)</f>
        <v>0</v>
      </c>
      <c r="K27" s="19">
        <v>0</v>
      </c>
      <c r="L27" s="19">
        <v>0</v>
      </c>
      <c r="M27" s="19">
        <v>0</v>
      </c>
      <c r="N27" s="19">
        <v>0</v>
      </c>
      <c r="O27" s="18">
        <f t="shared" ref="O27" si="22">R27</f>
        <v>0</v>
      </c>
      <c r="P27" s="19">
        <v>0</v>
      </c>
      <c r="Q27" s="19">
        <v>0</v>
      </c>
      <c r="R27" s="113">
        <v>0</v>
      </c>
      <c r="S27" s="19">
        <v>0</v>
      </c>
      <c r="T27" s="18">
        <f>W27</f>
        <v>1500</v>
      </c>
      <c r="U27" s="19"/>
      <c r="V27" s="19">
        <v>0</v>
      </c>
      <c r="W27" s="19">
        <v>1500</v>
      </c>
      <c r="X27" s="19">
        <v>0</v>
      </c>
      <c r="Y27" s="19">
        <f>AB27</f>
        <v>0</v>
      </c>
      <c r="Z27" s="19"/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</row>
    <row r="28" spans="1:39" s="5" customFormat="1" ht="36" customHeight="1" outlineLevel="1" x14ac:dyDescent="0.25">
      <c r="A28" s="39" t="s">
        <v>138</v>
      </c>
      <c r="B28" s="191" t="s">
        <v>540</v>
      </c>
      <c r="C28" s="192"/>
      <c r="D28" s="174"/>
      <c r="E28" s="18">
        <f t="shared" ref="E28:AM28" si="23">SUM(E29:E81)</f>
        <v>142771.4</v>
      </c>
      <c r="F28" s="18">
        <f t="shared" si="23"/>
        <v>0</v>
      </c>
      <c r="G28" s="18">
        <f t="shared" si="23"/>
        <v>0</v>
      </c>
      <c r="H28" s="18">
        <f t="shared" si="23"/>
        <v>142771.4</v>
      </c>
      <c r="I28" s="18">
        <f t="shared" si="23"/>
        <v>0</v>
      </c>
      <c r="J28" s="18">
        <f t="shared" si="23"/>
        <v>24743.200000000001</v>
      </c>
      <c r="K28" s="18">
        <f t="shared" si="23"/>
        <v>0</v>
      </c>
      <c r="L28" s="18">
        <f t="shared" si="23"/>
        <v>0</v>
      </c>
      <c r="M28" s="18">
        <f t="shared" si="23"/>
        <v>24743.200000000001</v>
      </c>
      <c r="N28" s="18">
        <f t="shared" si="23"/>
        <v>0</v>
      </c>
      <c r="O28" s="40">
        <f t="shared" si="23"/>
        <v>33314.5</v>
      </c>
      <c r="P28" s="40">
        <f t="shared" si="23"/>
        <v>0</v>
      </c>
      <c r="Q28" s="40">
        <f t="shared" si="23"/>
        <v>0</v>
      </c>
      <c r="R28" s="40">
        <f t="shared" si="23"/>
        <v>33314.5</v>
      </c>
      <c r="S28" s="18">
        <f t="shared" si="23"/>
        <v>0</v>
      </c>
      <c r="T28" s="18">
        <f t="shared" si="23"/>
        <v>37782.399999999994</v>
      </c>
      <c r="U28" s="18">
        <f t="shared" si="23"/>
        <v>0</v>
      </c>
      <c r="V28" s="18">
        <f t="shared" si="23"/>
        <v>0</v>
      </c>
      <c r="W28" s="18">
        <f t="shared" si="23"/>
        <v>37782.399999999994</v>
      </c>
      <c r="X28" s="18">
        <f t="shared" si="23"/>
        <v>0</v>
      </c>
      <c r="Y28" s="18">
        <f t="shared" si="23"/>
        <v>22466.9</v>
      </c>
      <c r="Z28" s="18">
        <f t="shared" si="23"/>
        <v>0</v>
      </c>
      <c r="AA28" s="18">
        <f t="shared" si="23"/>
        <v>0</v>
      </c>
      <c r="AB28" s="18">
        <f t="shared" si="23"/>
        <v>22466.9</v>
      </c>
      <c r="AC28" s="18">
        <f t="shared" si="23"/>
        <v>0</v>
      </c>
      <c r="AD28" s="18">
        <f t="shared" si="23"/>
        <v>24464.400000000001</v>
      </c>
      <c r="AE28" s="18">
        <f t="shared" si="23"/>
        <v>0</v>
      </c>
      <c r="AF28" s="18">
        <f t="shared" si="23"/>
        <v>0</v>
      </c>
      <c r="AG28" s="18">
        <f t="shared" si="23"/>
        <v>24464.400000000001</v>
      </c>
      <c r="AH28" s="18">
        <f t="shared" si="23"/>
        <v>0</v>
      </c>
      <c r="AI28" s="18">
        <f t="shared" si="23"/>
        <v>0</v>
      </c>
      <c r="AJ28" s="18">
        <f t="shared" si="23"/>
        <v>0</v>
      </c>
      <c r="AK28" s="18">
        <f t="shared" si="23"/>
        <v>0</v>
      </c>
      <c r="AL28" s="18">
        <f t="shared" si="23"/>
        <v>0</v>
      </c>
      <c r="AM28" s="18">
        <f t="shared" si="23"/>
        <v>0</v>
      </c>
    </row>
    <row r="29" spans="1:39" s="2" customFormat="1" ht="78.75" outlineLevel="2" x14ac:dyDescent="0.25">
      <c r="A29" s="8" t="s">
        <v>139</v>
      </c>
      <c r="B29" s="25" t="s">
        <v>46</v>
      </c>
      <c r="C29" s="26" t="s">
        <v>377</v>
      </c>
      <c r="D29" s="26" t="s">
        <v>118</v>
      </c>
      <c r="E29" s="20">
        <f t="shared" ref="E29:E38" si="24">SUM(F29:I29)</f>
        <v>3359.3</v>
      </c>
      <c r="F29" s="38">
        <f t="shared" ref="F29:F36" si="25">K29+P29+U29</f>
        <v>0</v>
      </c>
      <c r="G29" s="38">
        <f t="shared" ref="G29:G63" si="26">L29+Q29+V29+AA29+AF29+AK29</f>
        <v>0</v>
      </c>
      <c r="H29" s="38">
        <f t="shared" ref="H29:H63" si="27">M29+R29+W29+AB29+AG29+AL29</f>
        <v>3359.3</v>
      </c>
      <c r="I29" s="38">
        <f t="shared" ref="I29:I63" si="28">N29+S29+X29+AC29+AH29+AM29</f>
        <v>0</v>
      </c>
      <c r="J29" s="18">
        <f t="shared" ref="J29:J63" si="29">SUM(K29:N29)</f>
        <v>3359.3</v>
      </c>
      <c r="K29" s="19">
        <v>0</v>
      </c>
      <c r="L29" s="19">
        <v>0</v>
      </c>
      <c r="M29" s="19">
        <f>3245.4+113.9</f>
        <v>3359.3</v>
      </c>
      <c r="N29" s="19">
        <v>0</v>
      </c>
      <c r="O29" s="18">
        <f t="shared" ref="O29:O63" si="30">SUM(P29:S29)</f>
        <v>0</v>
      </c>
      <c r="P29" s="19">
        <v>0</v>
      </c>
      <c r="Q29" s="19">
        <v>0</v>
      </c>
      <c r="R29" s="19">
        <v>0</v>
      </c>
      <c r="S29" s="19">
        <v>0</v>
      </c>
      <c r="T29" s="18">
        <f t="shared" ref="T29:T63" si="31">SUM(U29:X29)</f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:Y80" si="32">SUM(Z29:AC29)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:AD63" si="33">SUM(AE29:AH29)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:AI63" si="34">SUM(AJ29:AM29)</f>
        <v>0</v>
      </c>
      <c r="AJ29" s="19">
        <v>0</v>
      </c>
      <c r="AK29" s="19">
        <v>0</v>
      </c>
      <c r="AL29" s="19">
        <v>0</v>
      </c>
      <c r="AM29" s="19">
        <v>0</v>
      </c>
    </row>
    <row r="30" spans="1:39" s="2" customFormat="1" ht="63" outlineLevel="2" x14ac:dyDescent="0.25">
      <c r="A30" s="8" t="s">
        <v>140</v>
      </c>
      <c r="B30" s="25" t="s">
        <v>47</v>
      </c>
      <c r="C30" s="26" t="s">
        <v>31</v>
      </c>
      <c r="D30" s="26" t="s">
        <v>118</v>
      </c>
      <c r="E30" s="20">
        <f t="shared" si="24"/>
        <v>633.79999999999995</v>
      </c>
      <c r="F30" s="38">
        <f t="shared" si="25"/>
        <v>0</v>
      </c>
      <c r="G30" s="38">
        <f t="shared" si="26"/>
        <v>0</v>
      </c>
      <c r="H30" s="38">
        <f t="shared" si="27"/>
        <v>633.79999999999995</v>
      </c>
      <c r="I30" s="38">
        <f t="shared" si="28"/>
        <v>0</v>
      </c>
      <c r="J30" s="18">
        <f t="shared" si="29"/>
        <v>633.79999999999995</v>
      </c>
      <c r="K30" s="19">
        <v>0</v>
      </c>
      <c r="L30" s="19">
        <v>0</v>
      </c>
      <c r="M30" s="19">
        <v>633.79999999999995</v>
      </c>
      <c r="N30" s="19">
        <v>0</v>
      </c>
      <c r="O30" s="18">
        <f t="shared" si="30"/>
        <v>0</v>
      </c>
      <c r="P30" s="19">
        <v>0</v>
      </c>
      <c r="Q30" s="19">
        <v>0</v>
      </c>
      <c r="R30" s="19">
        <v>0</v>
      </c>
      <c r="S30" s="19">
        <v>0</v>
      </c>
      <c r="T30" s="18">
        <f t="shared" si="31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32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33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34"/>
        <v>0</v>
      </c>
      <c r="AJ30" s="19">
        <v>0</v>
      </c>
      <c r="AK30" s="19">
        <v>0</v>
      </c>
      <c r="AL30" s="19">
        <v>0</v>
      </c>
      <c r="AM30" s="19">
        <v>0</v>
      </c>
    </row>
    <row r="31" spans="1:39" s="2" customFormat="1" ht="47.25" outlineLevel="2" x14ac:dyDescent="0.25">
      <c r="A31" s="8" t="s">
        <v>141</v>
      </c>
      <c r="B31" s="25" t="s">
        <v>70</v>
      </c>
      <c r="C31" s="26" t="s">
        <v>31</v>
      </c>
      <c r="D31" s="26" t="s">
        <v>118</v>
      </c>
      <c r="E31" s="20">
        <f t="shared" si="24"/>
        <v>1684.6000000000001</v>
      </c>
      <c r="F31" s="38">
        <f t="shared" si="25"/>
        <v>0</v>
      </c>
      <c r="G31" s="38">
        <f t="shared" si="26"/>
        <v>0</v>
      </c>
      <c r="H31" s="38">
        <f t="shared" si="27"/>
        <v>1684.6000000000001</v>
      </c>
      <c r="I31" s="38">
        <f t="shared" si="28"/>
        <v>0</v>
      </c>
      <c r="J31" s="18">
        <f t="shared" si="29"/>
        <v>1684.6000000000001</v>
      </c>
      <c r="K31" s="19">
        <v>0</v>
      </c>
      <c r="L31" s="19">
        <v>0</v>
      </c>
      <c r="M31" s="19">
        <f>2196.9-395-117.3</f>
        <v>1684.6000000000001</v>
      </c>
      <c r="N31" s="19">
        <v>0</v>
      </c>
      <c r="O31" s="18">
        <f t="shared" si="30"/>
        <v>0</v>
      </c>
      <c r="P31" s="19">
        <v>0</v>
      </c>
      <c r="Q31" s="19">
        <v>0</v>
      </c>
      <c r="R31" s="19">
        <v>0</v>
      </c>
      <c r="S31" s="19">
        <v>0</v>
      </c>
      <c r="T31" s="18">
        <f t="shared" si="31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32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33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34"/>
        <v>0</v>
      </c>
      <c r="AJ31" s="19">
        <v>0</v>
      </c>
      <c r="AK31" s="19">
        <v>0</v>
      </c>
      <c r="AL31" s="19">
        <v>0</v>
      </c>
      <c r="AM31" s="19">
        <v>0</v>
      </c>
    </row>
    <row r="32" spans="1:39" s="2" customFormat="1" ht="78.75" outlineLevel="2" x14ac:dyDescent="0.25">
      <c r="A32" s="8" t="s">
        <v>142</v>
      </c>
      <c r="B32" s="25" t="s">
        <v>48</v>
      </c>
      <c r="C32" s="26" t="s">
        <v>377</v>
      </c>
      <c r="D32" s="26" t="s">
        <v>118</v>
      </c>
      <c r="E32" s="20">
        <f t="shared" si="24"/>
        <v>1846.6</v>
      </c>
      <c r="F32" s="38">
        <f t="shared" si="25"/>
        <v>0</v>
      </c>
      <c r="G32" s="38">
        <f t="shared" si="26"/>
        <v>0</v>
      </c>
      <c r="H32" s="38">
        <f t="shared" si="27"/>
        <v>1846.6</v>
      </c>
      <c r="I32" s="38">
        <f t="shared" si="28"/>
        <v>0</v>
      </c>
      <c r="J32" s="18">
        <f t="shared" si="29"/>
        <v>1846.6</v>
      </c>
      <c r="K32" s="19">
        <v>0</v>
      </c>
      <c r="L32" s="19">
        <v>0</v>
      </c>
      <c r="M32" s="19">
        <f>395+1720-268.4</f>
        <v>1846.6</v>
      </c>
      <c r="N32" s="19">
        <v>0</v>
      </c>
      <c r="O32" s="18">
        <f t="shared" si="30"/>
        <v>0</v>
      </c>
      <c r="P32" s="19">
        <v>0</v>
      </c>
      <c r="Q32" s="19">
        <v>0</v>
      </c>
      <c r="R32" s="19">
        <v>0</v>
      </c>
      <c r="S32" s="19">
        <v>0</v>
      </c>
      <c r="T32" s="18">
        <f t="shared" si="31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si="32"/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si="33"/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si="34"/>
        <v>0</v>
      </c>
      <c r="AJ32" s="19">
        <v>0</v>
      </c>
      <c r="AK32" s="19">
        <v>0</v>
      </c>
      <c r="AL32" s="19">
        <v>0</v>
      </c>
      <c r="AM32" s="19">
        <v>0</v>
      </c>
    </row>
    <row r="33" spans="1:39" s="2" customFormat="1" ht="78.75" outlineLevel="2" x14ac:dyDescent="0.25">
      <c r="A33" s="8" t="s">
        <v>143</v>
      </c>
      <c r="B33" s="25" t="s">
        <v>71</v>
      </c>
      <c r="C33" s="26" t="s">
        <v>377</v>
      </c>
      <c r="D33" s="26" t="s">
        <v>118</v>
      </c>
      <c r="E33" s="20">
        <f t="shared" si="24"/>
        <v>3989.8</v>
      </c>
      <c r="F33" s="38">
        <f t="shared" si="25"/>
        <v>0</v>
      </c>
      <c r="G33" s="38">
        <f t="shared" si="26"/>
        <v>0</v>
      </c>
      <c r="H33" s="38">
        <f t="shared" si="27"/>
        <v>3989.8</v>
      </c>
      <c r="I33" s="38">
        <f t="shared" si="28"/>
        <v>0</v>
      </c>
      <c r="J33" s="18">
        <f t="shared" si="29"/>
        <v>3989.8</v>
      </c>
      <c r="K33" s="19">
        <v>0</v>
      </c>
      <c r="L33" s="19">
        <v>0</v>
      </c>
      <c r="M33" s="19">
        <f>3495.9+493.9</f>
        <v>3989.8</v>
      </c>
      <c r="N33" s="19">
        <v>0</v>
      </c>
      <c r="O33" s="18">
        <f t="shared" si="30"/>
        <v>0</v>
      </c>
      <c r="P33" s="19">
        <v>0</v>
      </c>
      <c r="Q33" s="19">
        <v>0</v>
      </c>
      <c r="R33" s="19">
        <v>0</v>
      </c>
      <c r="S33" s="19">
        <v>0</v>
      </c>
      <c r="T33" s="18">
        <f t="shared" si="31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32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33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34"/>
        <v>0</v>
      </c>
      <c r="AJ33" s="19">
        <v>0</v>
      </c>
      <c r="AK33" s="19">
        <v>0</v>
      </c>
      <c r="AL33" s="19">
        <v>0</v>
      </c>
      <c r="AM33" s="19">
        <v>0</v>
      </c>
    </row>
    <row r="34" spans="1:39" s="2" customFormat="1" ht="78.75" outlineLevel="2" x14ac:dyDescent="0.25">
      <c r="A34" s="8" t="s">
        <v>144</v>
      </c>
      <c r="B34" s="24" t="s">
        <v>286</v>
      </c>
      <c r="C34" s="26" t="s">
        <v>377</v>
      </c>
      <c r="D34" s="26" t="s">
        <v>8</v>
      </c>
      <c r="E34" s="20">
        <f t="shared" si="24"/>
        <v>4514.2</v>
      </c>
      <c r="F34" s="38">
        <f t="shared" si="25"/>
        <v>0</v>
      </c>
      <c r="G34" s="38">
        <f t="shared" si="26"/>
        <v>0</v>
      </c>
      <c r="H34" s="38">
        <f t="shared" si="27"/>
        <v>4514.2</v>
      </c>
      <c r="I34" s="38">
        <f t="shared" si="28"/>
        <v>0</v>
      </c>
      <c r="J34" s="18">
        <f t="shared" si="29"/>
        <v>1827.3</v>
      </c>
      <c r="K34" s="19">
        <v>0</v>
      </c>
      <c r="L34" s="19">
        <v>0</v>
      </c>
      <c r="M34" s="19">
        <f>1220.1+607.2</f>
        <v>1827.3</v>
      </c>
      <c r="N34" s="19">
        <v>0</v>
      </c>
      <c r="O34" s="18">
        <f t="shared" si="30"/>
        <v>2686.9</v>
      </c>
      <c r="P34" s="19">
        <v>0</v>
      </c>
      <c r="Q34" s="19">
        <v>0</v>
      </c>
      <c r="R34" s="19">
        <f>6500-3813.1</f>
        <v>2686.9</v>
      </c>
      <c r="S34" s="19">
        <v>0</v>
      </c>
      <c r="T34" s="18">
        <f t="shared" si="31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32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33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34"/>
        <v>0</v>
      </c>
      <c r="AJ34" s="19">
        <v>0</v>
      </c>
      <c r="AK34" s="19">
        <v>0</v>
      </c>
      <c r="AL34" s="19">
        <v>0</v>
      </c>
      <c r="AM34" s="19">
        <v>0</v>
      </c>
    </row>
    <row r="35" spans="1:39" s="2" customFormat="1" ht="78.75" outlineLevel="2" x14ac:dyDescent="0.25">
      <c r="A35" s="8" t="s">
        <v>285</v>
      </c>
      <c r="B35" s="24" t="s">
        <v>288</v>
      </c>
      <c r="C35" s="26" t="s">
        <v>377</v>
      </c>
      <c r="D35" s="26" t="s">
        <v>8</v>
      </c>
      <c r="E35" s="20">
        <f t="shared" si="24"/>
        <v>2928.1</v>
      </c>
      <c r="F35" s="38">
        <f t="shared" si="25"/>
        <v>0</v>
      </c>
      <c r="G35" s="38">
        <f t="shared" si="26"/>
        <v>0</v>
      </c>
      <c r="H35" s="38">
        <f t="shared" si="27"/>
        <v>2928.1</v>
      </c>
      <c r="I35" s="38">
        <f t="shared" si="28"/>
        <v>0</v>
      </c>
      <c r="J35" s="18">
        <f t="shared" si="29"/>
        <v>2928.1</v>
      </c>
      <c r="K35" s="19">
        <v>0</v>
      </c>
      <c r="L35" s="19">
        <v>0</v>
      </c>
      <c r="M35" s="19">
        <f>3050.1-122</f>
        <v>2928.1</v>
      </c>
      <c r="N35" s="19">
        <v>0</v>
      </c>
      <c r="O35" s="18">
        <f t="shared" si="30"/>
        <v>0</v>
      </c>
      <c r="P35" s="19">
        <v>0</v>
      </c>
      <c r="Q35" s="19">
        <v>0</v>
      </c>
      <c r="R35" s="19">
        <v>0</v>
      </c>
      <c r="S35" s="19">
        <v>0</v>
      </c>
      <c r="T35" s="18">
        <f t="shared" si="31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si="32"/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si="33"/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si="34"/>
        <v>0</v>
      </c>
      <c r="AJ35" s="19">
        <v>0</v>
      </c>
      <c r="AK35" s="19">
        <v>0</v>
      </c>
      <c r="AL35" s="19">
        <v>0</v>
      </c>
      <c r="AM35" s="19">
        <v>0</v>
      </c>
    </row>
    <row r="36" spans="1:39" s="2" customFormat="1" ht="78.75" outlineLevel="2" x14ac:dyDescent="0.25">
      <c r="A36" s="8" t="s">
        <v>287</v>
      </c>
      <c r="B36" s="24" t="s">
        <v>315</v>
      </c>
      <c r="C36" s="26" t="s">
        <v>377</v>
      </c>
      <c r="D36" s="26" t="s">
        <v>118</v>
      </c>
      <c r="E36" s="20">
        <f t="shared" si="24"/>
        <v>885.6</v>
      </c>
      <c r="F36" s="38">
        <f t="shared" si="25"/>
        <v>0</v>
      </c>
      <c r="G36" s="38">
        <f t="shared" si="26"/>
        <v>0</v>
      </c>
      <c r="H36" s="38">
        <f t="shared" si="27"/>
        <v>885.6</v>
      </c>
      <c r="I36" s="38">
        <f t="shared" si="28"/>
        <v>0</v>
      </c>
      <c r="J36" s="18">
        <f t="shared" si="29"/>
        <v>885.6</v>
      </c>
      <c r="K36" s="19">
        <v>0</v>
      </c>
      <c r="L36" s="19">
        <v>0</v>
      </c>
      <c r="M36" s="19">
        <f>890-4.4</f>
        <v>885.6</v>
      </c>
      <c r="N36" s="19">
        <v>0</v>
      </c>
      <c r="O36" s="18">
        <f t="shared" si="30"/>
        <v>0</v>
      </c>
      <c r="P36" s="19">
        <v>0</v>
      </c>
      <c r="Q36" s="19">
        <v>0</v>
      </c>
      <c r="R36" s="19">
        <v>0</v>
      </c>
      <c r="S36" s="19">
        <v>0</v>
      </c>
      <c r="T36" s="18">
        <f t="shared" si="31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32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33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34"/>
        <v>0</v>
      </c>
      <c r="AJ36" s="19">
        <v>0</v>
      </c>
      <c r="AK36" s="19">
        <v>0</v>
      </c>
      <c r="AL36" s="19">
        <v>0</v>
      </c>
      <c r="AM36" s="19">
        <v>0</v>
      </c>
    </row>
    <row r="37" spans="1:39" s="2" customFormat="1" ht="78.75" outlineLevel="2" x14ac:dyDescent="0.25">
      <c r="A37" s="8" t="s">
        <v>314</v>
      </c>
      <c r="B37" s="24" t="s">
        <v>331</v>
      </c>
      <c r="C37" s="26" t="s">
        <v>377</v>
      </c>
      <c r="D37" s="26" t="s">
        <v>118</v>
      </c>
      <c r="E37" s="20">
        <f t="shared" si="24"/>
        <v>127.1</v>
      </c>
      <c r="F37" s="38">
        <f t="shared" ref="F37:F44" si="35">K37+P37+U37</f>
        <v>0</v>
      </c>
      <c r="G37" s="38">
        <f t="shared" si="26"/>
        <v>0</v>
      </c>
      <c r="H37" s="38">
        <f t="shared" si="27"/>
        <v>127.1</v>
      </c>
      <c r="I37" s="38">
        <f t="shared" si="28"/>
        <v>0</v>
      </c>
      <c r="J37" s="18">
        <f t="shared" si="29"/>
        <v>127.1</v>
      </c>
      <c r="K37" s="19">
        <v>0</v>
      </c>
      <c r="L37" s="19">
        <v>0</v>
      </c>
      <c r="M37" s="19">
        <v>127.1</v>
      </c>
      <c r="N37" s="19">
        <v>0</v>
      </c>
      <c r="O37" s="18">
        <f t="shared" si="30"/>
        <v>0</v>
      </c>
      <c r="P37" s="19">
        <v>0</v>
      </c>
      <c r="Q37" s="19">
        <v>0</v>
      </c>
      <c r="R37" s="19">
        <v>0</v>
      </c>
      <c r="S37" s="19">
        <v>0</v>
      </c>
      <c r="T37" s="18">
        <f t="shared" si="31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32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33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34"/>
        <v>0</v>
      </c>
      <c r="AJ37" s="19">
        <v>0</v>
      </c>
      <c r="AK37" s="19">
        <v>0</v>
      </c>
      <c r="AL37" s="19">
        <v>0</v>
      </c>
      <c r="AM37" s="19">
        <v>0</v>
      </c>
    </row>
    <row r="38" spans="1:39" s="2" customFormat="1" ht="78.75" outlineLevel="2" x14ac:dyDescent="0.25">
      <c r="A38" s="8" t="s">
        <v>329</v>
      </c>
      <c r="B38" s="24" t="s">
        <v>332</v>
      </c>
      <c r="C38" s="26" t="s">
        <v>377</v>
      </c>
      <c r="D38" s="26" t="s">
        <v>118</v>
      </c>
      <c r="E38" s="20">
        <f t="shared" si="24"/>
        <v>706.6</v>
      </c>
      <c r="F38" s="38">
        <f t="shared" si="35"/>
        <v>0</v>
      </c>
      <c r="G38" s="38">
        <f t="shared" si="26"/>
        <v>0</v>
      </c>
      <c r="H38" s="38">
        <f t="shared" si="27"/>
        <v>706.6</v>
      </c>
      <c r="I38" s="38">
        <f t="shared" si="28"/>
        <v>0</v>
      </c>
      <c r="J38" s="18">
        <f t="shared" si="29"/>
        <v>706.6</v>
      </c>
      <c r="K38" s="19">
        <v>0</v>
      </c>
      <c r="L38" s="19">
        <v>0</v>
      </c>
      <c r="M38" s="19">
        <f>955-248.4</f>
        <v>706.6</v>
      </c>
      <c r="N38" s="19">
        <v>0</v>
      </c>
      <c r="O38" s="18">
        <f t="shared" si="30"/>
        <v>0</v>
      </c>
      <c r="P38" s="19">
        <v>0</v>
      </c>
      <c r="Q38" s="19">
        <v>0</v>
      </c>
      <c r="R38" s="19">
        <v>0</v>
      </c>
      <c r="S38" s="19">
        <v>0</v>
      </c>
      <c r="T38" s="18">
        <f t="shared" si="31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si="32"/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si="33"/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si="34"/>
        <v>0</v>
      </c>
      <c r="AJ38" s="19">
        <v>0</v>
      </c>
      <c r="AK38" s="19">
        <v>0</v>
      </c>
      <c r="AL38" s="19">
        <v>0</v>
      </c>
      <c r="AM38" s="19">
        <v>0</v>
      </c>
    </row>
    <row r="39" spans="1:39" s="2" customFormat="1" ht="78.75" outlineLevel="2" x14ac:dyDescent="0.25">
      <c r="A39" s="8" t="s">
        <v>330</v>
      </c>
      <c r="B39" s="41" t="s">
        <v>345</v>
      </c>
      <c r="C39" s="26" t="s">
        <v>377</v>
      </c>
      <c r="D39" s="26" t="s">
        <v>8</v>
      </c>
      <c r="E39" s="20">
        <f>H39</f>
        <v>2410</v>
      </c>
      <c r="F39" s="38">
        <f t="shared" si="35"/>
        <v>0</v>
      </c>
      <c r="G39" s="38">
        <f t="shared" si="26"/>
        <v>0</v>
      </c>
      <c r="H39" s="38">
        <f t="shared" si="27"/>
        <v>2410</v>
      </c>
      <c r="I39" s="38">
        <f t="shared" si="28"/>
        <v>0</v>
      </c>
      <c r="J39" s="18">
        <f t="shared" si="29"/>
        <v>154.69999999999999</v>
      </c>
      <c r="K39" s="19">
        <v>0</v>
      </c>
      <c r="L39" s="19">
        <v>0</v>
      </c>
      <c r="M39" s="19">
        <v>154.69999999999999</v>
      </c>
      <c r="N39" s="19">
        <v>0</v>
      </c>
      <c r="O39" s="18">
        <f t="shared" si="30"/>
        <v>2255.3000000000002</v>
      </c>
      <c r="P39" s="19">
        <v>0</v>
      </c>
      <c r="Q39" s="19">
        <v>0</v>
      </c>
      <c r="R39" s="19">
        <f>6597.2-4116.4-225.5</f>
        <v>2255.3000000000002</v>
      </c>
      <c r="S39" s="19">
        <v>0</v>
      </c>
      <c r="T39" s="18">
        <f t="shared" si="31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si="32"/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si="33"/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si="34"/>
        <v>0</v>
      </c>
      <c r="AJ39" s="19">
        <v>0</v>
      </c>
      <c r="AK39" s="19">
        <v>0</v>
      </c>
      <c r="AL39" s="19">
        <v>0</v>
      </c>
      <c r="AM39" s="19">
        <v>0</v>
      </c>
    </row>
    <row r="40" spans="1:39" s="2" customFormat="1" ht="78.75" outlineLevel="2" x14ac:dyDescent="0.25">
      <c r="A40" s="8" t="s">
        <v>337</v>
      </c>
      <c r="B40" s="41" t="s">
        <v>346</v>
      </c>
      <c r="C40" s="26" t="s">
        <v>377</v>
      </c>
      <c r="D40" s="26" t="s">
        <v>118</v>
      </c>
      <c r="E40" s="20">
        <f t="shared" ref="E40:E51" si="36">H40</f>
        <v>2667.5</v>
      </c>
      <c r="F40" s="38">
        <f t="shared" si="35"/>
        <v>0</v>
      </c>
      <c r="G40" s="38">
        <f t="shared" si="26"/>
        <v>0</v>
      </c>
      <c r="H40" s="38">
        <f t="shared" si="27"/>
        <v>2667.5</v>
      </c>
      <c r="I40" s="38">
        <f t="shared" si="28"/>
        <v>0</v>
      </c>
      <c r="J40" s="18">
        <f t="shared" si="29"/>
        <v>2667.5</v>
      </c>
      <c r="K40" s="19">
        <v>0</v>
      </c>
      <c r="L40" s="19">
        <v>0</v>
      </c>
      <c r="M40" s="19">
        <f>2680.9-13.4</f>
        <v>2667.5</v>
      </c>
      <c r="N40" s="19">
        <v>0</v>
      </c>
      <c r="O40" s="18">
        <f t="shared" si="30"/>
        <v>0</v>
      </c>
      <c r="P40" s="19">
        <v>0</v>
      </c>
      <c r="Q40" s="19">
        <v>0</v>
      </c>
      <c r="R40" s="19">
        <v>0</v>
      </c>
      <c r="S40" s="19">
        <v>0</v>
      </c>
      <c r="T40" s="18">
        <f t="shared" si="31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si="32"/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si="33"/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si="34"/>
        <v>0</v>
      </c>
      <c r="AJ40" s="19">
        <v>0</v>
      </c>
      <c r="AK40" s="19">
        <v>0</v>
      </c>
      <c r="AL40" s="19">
        <v>0</v>
      </c>
      <c r="AM40" s="19">
        <v>0</v>
      </c>
    </row>
    <row r="41" spans="1:39" s="2" customFormat="1" ht="63" outlineLevel="2" x14ac:dyDescent="0.25">
      <c r="A41" s="8" t="s">
        <v>338</v>
      </c>
      <c r="B41" s="41" t="s">
        <v>427</v>
      </c>
      <c r="C41" s="26" t="s">
        <v>32</v>
      </c>
      <c r="D41" s="26" t="s">
        <v>118</v>
      </c>
      <c r="E41" s="20">
        <f>H41</f>
        <v>331.9</v>
      </c>
      <c r="F41" s="38">
        <f t="shared" si="35"/>
        <v>0</v>
      </c>
      <c r="G41" s="38">
        <f t="shared" si="26"/>
        <v>0</v>
      </c>
      <c r="H41" s="38">
        <f t="shared" si="27"/>
        <v>331.9</v>
      </c>
      <c r="I41" s="38">
        <f t="shared" si="28"/>
        <v>0</v>
      </c>
      <c r="J41" s="18">
        <f t="shared" si="29"/>
        <v>331.9</v>
      </c>
      <c r="K41" s="19">
        <v>0</v>
      </c>
      <c r="L41" s="19">
        <v>0</v>
      </c>
      <c r="M41" s="19">
        <v>331.9</v>
      </c>
      <c r="N41" s="19">
        <v>0</v>
      </c>
      <c r="O41" s="18">
        <f t="shared" si="30"/>
        <v>0</v>
      </c>
      <c r="P41" s="19">
        <v>0</v>
      </c>
      <c r="Q41" s="19">
        <v>0</v>
      </c>
      <c r="R41" s="19">
        <v>0</v>
      </c>
      <c r="S41" s="19">
        <v>0</v>
      </c>
      <c r="T41" s="18">
        <f t="shared" si="31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si="32"/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si="33"/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si="34"/>
        <v>0</v>
      </c>
      <c r="AJ41" s="19">
        <v>0</v>
      </c>
      <c r="AK41" s="19">
        <v>0</v>
      </c>
      <c r="AL41" s="19">
        <v>0</v>
      </c>
      <c r="AM41" s="19">
        <v>0</v>
      </c>
    </row>
    <row r="42" spans="1:39" s="2" customFormat="1" ht="78.75" outlineLevel="2" x14ac:dyDescent="0.25">
      <c r="A42" s="8" t="s">
        <v>339</v>
      </c>
      <c r="B42" s="42" t="s">
        <v>347</v>
      </c>
      <c r="C42" s="26" t="s">
        <v>377</v>
      </c>
      <c r="D42" s="26" t="s">
        <v>8</v>
      </c>
      <c r="E42" s="20">
        <f t="shared" si="36"/>
        <v>4309.2000000000007</v>
      </c>
      <c r="F42" s="38">
        <f t="shared" si="35"/>
        <v>0</v>
      </c>
      <c r="G42" s="38">
        <f t="shared" si="26"/>
        <v>0</v>
      </c>
      <c r="H42" s="38">
        <f t="shared" si="27"/>
        <v>4309.2000000000007</v>
      </c>
      <c r="I42" s="38">
        <f t="shared" si="28"/>
        <v>0</v>
      </c>
      <c r="J42" s="18">
        <f t="shared" si="29"/>
        <v>1423.5</v>
      </c>
      <c r="K42" s="19">
        <v>0</v>
      </c>
      <c r="L42" s="19">
        <v>0</v>
      </c>
      <c r="M42" s="19">
        <v>1423.5</v>
      </c>
      <c r="N42" s="19">
        <v>0</v>
      </c>
      <c r="O42" s="18">
        <f t="shared" si="30"/>
        <v>2885.7000000000003</v>
      </c>
      <c r="P42" s="19">
        <v>0</v>
      </c>
      <c r="Q42" s="19">
        <v>0</v>
      </c>
      <c r="R42" s="19">
        <f>6700-3956.6+142.3</f>
        <v>2885.7000000000003</v>
      </c>
      <c r="S42" s="19">
        <v>0</v>
      </c>
      <c r="T42" s="18">
        <f t="shared" si="31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si="32"/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si="33"/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si="34"/>
        <v>0</v>
      </c>
      <c r="AJ42" s="19">
        <v>0</v>
      </c>
      <c r="AK42" s="19">
        <v>0</v>
      </c>
      <c r="AL42" s="19">
        <v>0</v>
      </c>
      <c r="AM42" s="19">
        <v>0</v>
      </c>
    </row>
    <row r="43" spans="1:39" s="2" customFormat="1" ht="63" outlineLevel="2" x14ac:dyDescent="0.25">
      <c r="A43" s="8" t="s">
        <v>340</v>
      </c>
      <c r="B43" s="42" t="s">
        <v>348</v>
      </c>
      <c r="C43" s="26" t="s">
        <v>31</v>
      </c>
      <c r="D43" s="26" t="s">
        <v>118</v>
      </c>
      <c r="E43" s="20">
        <f t="shared" si="36"/>
        <v>261.89999999999998</v>
      </c>
      <c r="F43" s="38">
        <f t="shared" si="35"/>
        <v>0</v>
      </c>
      <c r="G43" s="38">
        <f t="shared" si="26"/>
        <v>0</v>
      </c>
      <c r="H43" s="38">
        <f t="shared" si="27"/>
        <v>261.89999999999998</v>
      </c>
      <c r="I43" s="38">
        <f t="shared" si="28"/>
        <v>0</v>
      </c>
      <c r="J43" s="18">
        <f t="shared" si="29"/>
        <v>261.89999999999998</v>
      </c>
      <c r="K43" s="19">
        <v>0</v>
      </c>
      <c r="L43" s="19">
        <v>0</v>
      </c>
      <c r="M43" s="19">
        <f>261.9</f>
        <v>261.89999999999998</v>
      </c>
      <c r="N43" s="19">
        <v>0</v>
      </c>
      <c r="O43" s="18">
        <f t="shared" si="30"/>
        <v>0</v>
      </c>
      <c r="P43" s="19">
        <v>0</v>
      </c>
      <c r="Q43" s="19">
        <v>0</v>
      </c>
      <c r="R43" s="19">
        <v>0</v>
      </c>
      <c r="S43" s="19">
        <v>0</v>
      </c>
      <c r="T43" s="18">
        <f t="shared" si="31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si="32"/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si="33"/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si="34"/>
        <v>0</v>
      </c>
      <c r="AJ43" s="19">
        <v>0</v>
      </c>
      <c r="AK43" s="19">
        <v>0</v>
      </c>
      <c r="AL43" s="19">
        <v>0</v>
      </c>
      <c r="AM43" s="19">
        <v>0</v>
      </c>
    </row>
    <row r="44" spans="1:39" s="2" customFormat="1" ht="78.75" outlineLevel="2" x14ac:dyDescent="0.25">
      <c r="A44" s="8" t="s">
        <v>341</v>
      </c>
      <c r="B44" s="42" t="s">
        <v>349</v>
      </c>
      <c r="C44" s="26" t="s">
        <v>31</v>
      </c>
      <c r="D44" s="26" t="s">
        <v>118</v>
      </c>
      <c r="E44" s="20">
        <f t="shared" si="36"/>
        <v>31.3</v>
      </c>
      <c r="F44" s="38">
        <f t="shared" si="35"/>
        <v>0</v>
      </c>
      <c r="G44" s="38">
        <f t="shared" si="26"/>
        <v>0</v>
      </c>
      <c r="H44" s="38">
        <f t="shared" si="27"/>
        <v>31.3</v>
      </c>
      <c r="I44" s="38">
        <f t="shared" si="28"/>
        <v>0</v>
      </c>
      <c r="J44" s="18">
        <f t="shared" si="29"/>
        <v>31.3</v>
      </c>
      <c r="K44" s="19">
        <v>0</v>
      </c>
      <c r="L44" s="19">
        <v>0</v>
      </c>
      <c r="M44" s="19">
        <v>31.3</v>
      </c>
      <c r="N44" s="19">
        <v>0</v>
      </c>
      <c r="O44" s="18">
        <f t="shared" si="30"/>
        <v>0</v>
      </c>
      <c r="P44" s="19">
        <v>0</v>
      </c>
      <c r="Q44" s="19">
        <v>0</v>
      </c>
      <c r="R44" s="19">
        <v>0</v>
      </c>
      <c r="S44" s="19">
        <v>0</v>
      </c>
      <c r="T44" s="18">
        <f t="shared" si="31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32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33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34"/>
        <v>0</v>
      </c>
      <c r="AJ44" s="19">
        <v>0</v>
      </c>
      <c r="AK44" s="19">
        <v>0</v>
      </c>
      <c r="AL44" s="19">
        <v>0</v>
      </c>
      <c r="AM44" s="19">
        <v>0</v>
      </c>
    </row>
    <row r="45" spans="1:39" s="2" customFormat="1" ht="78.75" outlineLevel="2" x14ac:dyDescent="0.25">
      <c r="A45" s="8" t="s">
        <v>342</v>
      </c>
      <c r="B45" s="42" t="s">
        <v>350</v>
      </c>
      <c r="C45" s="26" t="s">
        <v>377</v>
      </c>
      <c r="D45" s="26" t="s">
        <v>118</v>
      </c>
      <c r="E45" s="20">
        <f t="shared" si="36"/>
        <v>69.3</v>
      </c>
      <c r="F45" s="38">
        <f t="shared" ref="F45:F64" si="37">K45+P45+U45+Z45+AE45+AJ45</f>
        <v>0</v>
      </c>
      <c r="G45" s="38">
        <f t="shared" si="26"/>
        <v>0</v>
      </c>
      <c r="H45" s="38">
        <f t="shared" si="27"/>
        <v>69.3</v>
      </c>
      <c r="I45" s="38">
        <f t="shared" si="28"/>
        <v>0</v>
      </c>
      <c r="J45" s="18">
        <f t="shared" si="29"/>
        <v>69.3</v>
      </c>
      <c r="K45" s="19">
        <v>0</v>
      </c>
      <c r="L45" s="19">
        <v>0</v>
      </c>
      <c r="M45" s="19">
        <v>69.3</v>
      </c>
      <c r="N45" s="19">
        <v>0</v>
      </c>
      <c r="O45" s="18">
        <f t="shared" si="30"/>
        <v>0</v>
      </c>
      <c r="P45" s="19">
        <v>0</v>
      </c>
      <c r="Q45" s="19">
        <v>0</v>
      </c>
      <c r="R45" s="19">
        <v>0</v>
      </c>
      <c r="S45" s="19">
        <v>0</v>
      </c>
      <c r="T45" s="18">
        <f t="shared" si="31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si="32"/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si="33"/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si="34"/>
        <v>0</v>
      </c>
      <c r="AJ45" s="19">
        <v>0</v>
      </c>
      <c r="AK45" s="19">
        <v>0</v>
      </c>
      <c r="AL45" s="19">
        <v>0</v>
      </c>
      <c r="AM45" s="19">
        <v>0</v>
      </c>
    </row>
    <row r="46" spans="1:39" s="2" customFormat="1" ht="78.75" outlineLevel="2" x14ac:dyDescent="0.25">
      <c r="A46" s="8" t="s">
        <v>343</v>
      </c>
      <c r="B46" s="42" t="s">
        <v>351</v>
      </c>
      <c r="C46" s="26" t="s">
        <v>377</v>
      </c>
      <c r="D46" s="26" t="s">
        <v>118</v>
      </c>
      <c r="E46" s="20">
        <f t="shared" si="36"/>
        <v>55.5</v>
      </c>
      <c r="F46" s="38">
        <f t="shared" si="37"/>
        <v>0</v>
      </c>
      <c r="G46" s="38">
        <f t="shared" si="26"/>
        <v>0</v>
      </c>
      <c r="H46" s="38">
        <f t="shared" si="27"/>
        <v>55.5</v>
      </c>
      <c r="I46" s="38">
        <f t="shared" si="28"/>
        <v>0</v>
      </c>
      <c r="J46" s="18">
        <f t="shared" si="29"/>
        <v>55.5</v>
      </c>
      <c r="K46" s="19">
        <v>0</v>
      </c>
      <c r="L46" s="19">
        <v>0</v>
      </c>
      <c r="M46" s="19">
        <v>55.5</v>
      </c>
      <c r="N46" s="19">
        <v>0</v>
      </c>
      <c r="O46" s="18">
        <f t="shared" si="30"/>
        <v>0</v>
      </c>
      <c r="P46" s="19">
        <v>0</v>
      </c>
      <c r="Q46" s="19">
        <v>0</v>
      </c>
      <c r="R46" s="19">
        <v>0</v>
      </c>
      <c r="S46" s="19">
        <v>0</v>
      </c>
      <c r="T46" s="18">
        <f t="shared" si="31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si="32"/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si="33"/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si="34"/>
        <v>0</v>
      </c>
      <c r="AJ46" s="19">
        <v>0</v>
      </c>
      <c r="AK46" s="19">
        <v>0</v>
      </c>
      <c r="AL46" s="19">
        <v>0</v>
      </c>
      <c r="AM46" s="19">
        <v>0</v>
      </c>
    </row>
    <row r="47" spans="1:39" s="2" customFormat="1" ht="63" outlineLevel="2" x14ac:dyDescent="0.25">
      <c r="A47" s="8" t="s">
        <v>344</v>
      </c>
      <c r="B47" s="42" t="s">
        <v>457</v>
      </c>
      <c r="C47" s="26" t="s">
        <v>32</v>
      </c>
      <c r="D47" s="26" t="s">
        <v>118</v>
      </c>
      <c r="E47" s="20">
        <f>H47</f>
        <v>55.5</v>
      </c>
      <c r="F47" s="38">
        <f t="shared" si="37"/>
        <v>0</v>
      </c>
      <c r="G47" s="38">
        <f t="shared" si="26"/>
        <v>0</v>
      </c>
      <c r="H47" s="38">
        <f t="shared" si="27"/>
        <v>55.5</v>
      </c>
      <c r="I47" s="38">
        <f t="shared" si="28"/>
        <v>0</v>
      </c>
      <c r="J47" s="18">
        <f t="shared" si="29"/>
        <v>55.5</v>
      </c>
      <c r="K47" s="19">
        <v>0</v>
      </c>
      <c r="L47" s="19">
        <v>0</v>
      </c>
      <c r="M47" s="19">
        <v>55.5</v>
      </c>
      <c r="N47" s="19">
        <v>0</v>
      </c>
      <c r="O47" s="18">
        <f t="shared" si="30"/>
        <v>0</v>
      </c>
      <c r="P47" s="19">
        <v>0</v>
      </c>
      <c r="Q47" s="19">
        <v>0</v>
      </c>
      <c r="R47" s="19">
        <v>0</v>
      </c>
      <c r="S47" s="19">
        <v>0</v>
      </c>
      <c r="T47" s="18">
        <f t="shared" si="31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si="32"/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si="33"/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si="34"/>
        <v>0</v>
      </c>
      <c r="AJ47" s="19">
        <v>0</v>
      </c>
      <c r="AK47" s="19">
        <v>0</v>
      </c>
      <c r="AL47" s="19">
        <v>0</v>
      </c>
      <c r="AM47" s="19">
        <v>0</v>
      </c>
    </row>
    <row r="48" spans="1:39" s="2" customFormat="1" ht="78.75" outlineLevel="2" x14ac:dyDescent="0.25">
      <c r="A48" s="8" t="s">
        <v>445</v>
      </c>
      <c r="B48" s="42" t="s">
        <v>352</v>
      </c>
      <c r="C48" s="26" t="s">
        <v>377</v>
      </c>
      <c r="D48" s="26" t="s">
        <v>118</v>
      </c>
      <c r="E48" s="20">
        <f>H48</f>
        <v>31.3</v>
      </c>
      <c r="F48" s="38">
        <f t="shared" si="37"/>
        <v>0</v>
      </c>
      <c r="G48" s="38">
        <f t="shared" si="26"/>
        <v>0</v>
      </c>
      <c r="H48" s="38">
        <f t="shared" si="27"/>
        <v>31.3</v>
      </c>
      <c r="I48" s="38">
        <f t="shared" si="28"/>
        <v>0</v>
      </c>
      <c r="J48" s="18">
        <f t="shared" si="29"/>
        <v>31.3</v>
      </c>
      <c r="K48" s="19">
        <v>0</v>
      </c>
      <c r="L48" s="19">
        <v>0</v>
      </c>
      <c r="M48" s="19">
        <v>31.3</v>
      </c>
      <c r="N48" s="19">
        <v>0</v>
      </c>
      <c r="O48" s="18">
        <f t="shared" si="30"/>
        <v>0</v>
      </c>
      <c r="P48" s="19">
        <v>0</v>
      </c>
      <c r="Q48" s="19">
        <v>0</v>
      </c>
      <c r="R48" s="19">
        <v>0</v>
      </c>
      <c r="S48" s="19">
        <v>0</v>
      </c>
      <c r="T48" s="18">
        <f t="shared" si="31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si="32"/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si="33"/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si="34"/>
        <v>0</v>
      </c>
      <c r="AJ48" s="19">
        <v>0</v>
      </c>
      <c r="AK48" s="19">
        <v>0</v>
      </c>
      <c r="AL48" s="19">
        <v>0</v>
      </c>
      <c r="AM48" s="19">
        <v>0</v>
      </c>
    </row>
    <row r="49" spans="1:39" s="2" customFormat="1" ht="78.75" outlineLevel="2" x14ac:dyDescent="0.25">
      <c r="A49" s="8" t="s">
        <v>446</v>
      </c>
      <c r="B49" s="42" t="s">
        <v>376</v>
      </c>
      <c r="C49" s="26" t="s">
        <v>377</v>
      </c>
      <c r="D49" s="26" t="s">
        <v>118</v>
      </c>
      <c r="E49" s="20">
        <f t="shared" si="36"/>
        <v>1672</v>
      </c>
      <c r="F49" s="38">
        <f t="shared" si="37"/>
        <v>0</v>
      </c>
      <c r="G49" s="38">
        <f t="shared" si="26"/>
        <v>0</v>
      </c>
      <c r="H49" s="38">
        <f t="shared" si="27"/>
        <v>1672</v>
      </c>
      <c r="I49" s="38">
        <f t="shared" si="28"/>
        <v>0</v>
      </c>
      <c r="J49" s="18">
        <f t="shared" si="29"/>
        <v>1672</v>
      </c>
      <c r="K49" s="19">
        <v>0</v>
      </c>
      <c r="L49" s="19">
        <v>0</v>
      </c>
      <c r="M49" s="19">
        <f>1449.8+222.2</f>
        <v>1672</v>
      </c>
      <c r="N49" s="19">
        <v>0</v>
      </c>
      <c r="O49" s="18">
        <f t="shared" si="30"/>
        <v>0</v>
      </c>
      <c r="P49" s="19">
        <v>0</v>
      </c>
      <c r="Q49" s="19">
        <v>0</v>
      </c>
      <c r="R49" s="19">
        <v>0</v>
      </c>
      <c r="S49" s="19">
        <v>0</v>
      </c>
      <c r="T49" s="18">
        <f t="shared" si="31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si="32"/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si="33"/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si="34"/>
        <v>0</v>
      </c>
      <c r="AJ49" s="19">
        <v>0</v>
      </c>
      <c r="AK49" s="19">
        <v>0</v>
      </c>
      <c r="AL49" s="19">
        <v>0</v>
      </c>
      <c r="AM49" s="19">
        <v>0</v>
      </c>
    </row>
    <row r="50" spans="1:39" s="2" customFormat="1" ht="63" outlineLevel="2" x14ac:dyDescent="0.25">
      <c r="A50" s="8" t="s">
        <v>490</v>
      </c>
      <c r="B50" s="42" t="s">
        <v>529</v>
      </c>
      <c r="C50" s="26" t="s">
        <v>32</v>
      </c>
      <c r="D50" s="26" t="s">
        <v>8</v>
      </c>
      <c r="E50" s="20">
        <f>H50</f>
        <v>264.10000000000002</v>
      </c>
      <c r="F50" s="38">
        <f t="shared" si="37"/>
        <v>0</v>
      </c>
      <c r="G50" s="38">
        <f t="shared" si="26"/>
        <v>0</v>
      </c>
      <c r="H50" s="38">
        <f t="shared" si="27"/>
        <v>264.10000000000002</v>
      </c>
      <c r="I50" s="38">
        <f t="shared" si="28"/>
        <v>0</v>
      </c>
      <c r="J50" s="18">
        <f t="shared" si="29"/>
        <v>0</v>
      </c>
      <c r="K50" s="19">
        <v>0</v>
      </c>
      <c r="L50" s="19">
        <v>0</v>
      </c>
      <c r="M50" s="19">
        <v>0</v>
      </c>
      <c r="N50" s="19">
        <v>0</v>
      </c>
      <c r="O50" s="18">
        <f t="shared" si="30"/>
        <v>264.10000000000002</v>
      </c>
      <c r="P50" s="19">
        <v>0</v>
      </c>
      <c r="Q50" s="19">
        <v>0</v>
      </c>
      <c r="R50" s="19">
        <v>264.10000000000002</v>
      </c>
      <c r="S50" s="19">
        <v>0</v>
      </c>
      <c r="T50" s="18">
        <f t="shared" si="31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si="32"/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si="33"/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si="34"/>
        <v>0</v>
      </c>
      <c r="AJ50" s="19">
        <v>0</v>
      </c>
      <c r="AK50" s="19">
        <v>0</v>
      </c>
      <c r="AL50" s="19">
        <v>0</v>
      </c>
      <c r="AM50" s="19">
        <v>0</v>
      </c>
    </row>
    <row r="51" spans="1:39" s="2" customFormat="1" ht="63" outlineLevel="2" x14ac:dyDescent="0.25">
      <c r="A51" s="8" t="s">
        <v>492</v>
      </c>
      <c r="B51" s="42" t="s">
        <v>525</v>
      </c>
      <c r="C51" s="26" t="s">
        <v>32</v>
      </c>
      <c r="D51" s="26" t="s">
        <v>118</v>
      </c>
      <c r="E51" s="20">
        <f t="shared" si="36"/>
        <v>1837</v>
      </c>
      <c r="F51" s="38">
        <f t="shared" si="37"/>
        <v>0</v>
      </c>
      <c r="G51" s="38">
        <f t="shared" si="26"/>
        <v>0</v>
      </c>
      <c r="H51" s="38">
        <f t="shared" si="27"/>
        <v>1837</v>
      </c>
      <c r="I51" s="38">
        <f t="shared" si="28"/>
        <v>0</v>
      </c>
      <c r="J51" s="18">
        <f t="shared" si="29"/>
        <v>0</v>
      </c>
      <c r="K51" s="19">
        <v>0</v>
      </c>
      <c r="L51" s="19">
        <v>0</v>
      </c>
      <c r="M51" s="19">
        <v>0</v>
      </c>
      <c r="N51" s="19">
        <v>0</v>
      </c>
      <c r="O51" s="18">
        <f t="shared" si="30"/>
        <v>1837</v>
      </c>
      <c r="P51" s="19">
        <v>0</v>
      </c>
      <c r="Q51" s="19">
        <v>0</v>
      </c>
      <c r="R51" s="19">
        <v>1837</v>
      </c>
      <c r="S51" s="19">
        <v>0</v>
      </c>
      <c r="T51" s="18">
        <f t="shared" si="31"/>
        <v>0</v>
      </c>
      <c r="U51" s="19">
        <v>0</v>
      </c>
      <c r="V51" s="19">
        <v>0</v>
      </c>
      <c r="W51" s="19">
        <v>0</v>
      </c>
      <c r="X51" s="19">
        <v>0</v>
      </c>
      <c r="Y51" s="18">
        <f t="shared" si="32"/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si="33"/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si="34"/>
        <v>0</v>
      </c>
      <c r="AJ51" s="19">
        <v>0</v>
      </c>
      <c r="AK51" s="19">
        <v>0</v>
      </c>
      <c r="AL51" s="19">
        <v>0</v>
      </c>
      <c r="AM51" s="19">
        <v>0</v>
      </c>
    </row>
    <row r="52" spans="1:39" s="2" customFormat="1" ht="47.25" outlineLevel="2" x14ac:dyDescent="0.25">
      <c r="A52" s="8" t="s">
        <v>494</v>
      </c>
      <c r="B52" s="42" t="s">
        <v>491</v>
      </c>
      <c r="C52" s="26" t="s">
        <v>32</v>
      </c>
      <c r="D52" s="26" t="s">
        <v>8</v>
      </c>
      <c r="E52" s="20">
        <f t="shared" ref="E52:E63" si="38">H52</f>
        <v>1649.8999999999999</v>
      </c>
      <c r="F52" s="38">
        <f t="shared" si="37"/>
        <v>0</v>
      </c>
      <c r="G52" s="38">
        <f t="shared" si="26"/>
        <v>0</v>
      </c>
      <c r="H52" s="38">
        <f t="shared" si="27"/>
        <v>1649.8999999999999</v>
      </c>
      <c r="I52" s="38">
        <f t="shared" si="28"/>
        <v>0</v>
      </c>
      <c r="J52" s="18">
        <f t="shared" si="29"/>
        <v>0</v>
      </c>
      <c r="K52" s="19">
        <v>0</v>
      </c>
      <c r="L52" s="19">
        <v>0</v>
      </c>
      <c r="M52" s="19">
        <v>0</v>
      </c>
      <c r="N52" s="19">
        <v>0</v>
      </c>
      <c r="O52" s="18">
        <f t="shared" si="30"/>
        <v>1649.8999999999999</v>
      </c>
      <c r="P52" s="19">
        <v>0</v>
      </c>
      <c r="Q52" s="19">
        <v>0</v>
      </c>
      <c r="R52" s="19">
        <f>2500-685.2-164.9</f>
        <v>1649.8999999999999</v>
      </c>
      <c r="S52" s="19">
        <v>0</v>
      </c>
      <c r="T52" s="18">
        <f t="shared" si="31"/>
        <v>0</v>
      </c>
      <c r="U52" s="19">
        <v>0</v>
      </c>
      <c r="V52" s="19">
        <v>0</v>
      </c>
      <c r="W52" s="19">
        <v>0</v>
      </c>
      <c r="X52" s="19">
        <v>0</v>
      </c>
      <c r="Y52" s="18">
        <f t="shared" si="32"/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si="33"/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si="34"/>
        <v>0</v>
      </c>
      <c r="AJ52" s="19">
        <v>0</v>
      </c>
      <c r="AK52" s="19">
        <v>0</v>
      </c>
      <c r="AL52" s="19">
        <v>0</v>
      </c>
      <c r="AM52" s="19">
        <v>0</v>
      </c>
    </row>
    <row r="53" spans="1:39" s="2" customFormat="1" ht="47.25" outlineLevel="2" x14ac:dyDescent="0.25">
      <c r="A53" s="8" t="s">
        <v>524</v>
      </c>
      <c r="B53" s="42" t="s">
        <v>493</v>
      </c>
      <c r="C53" s="26" t="s">
        <v>32</v>
      </c>
      <c r="D53" s="26" t="s">
        <v>8</v>
      </c>
      <c r="E53" s="20">
        <f t="shared" si="38"/>
        <v>1523</v>
      </c>
      <c r="F53" s="38">
        <f t="shared" si="37"/>
        <v>0</v>
      </c>
      <c r="G53" s="38">
        <f t="shared" si="26"/>
        <v>0</v>
      </c>
      <c r="H53" s="38">
        <f t="shared" si="27"/>
        <v>1523</v>
      </c>
      <c r="I53" s="38">
        <f t="shared" si="28"/>
        <v>0</v>
      </c>
      <c r="J53" s="18">
        <f t="shared" si="29"/>
        <v>0</v>
      </c>
      <c r="K53" s="19">
        <v>0</v>
      </c>
      <c r="L53" s="19">
        <v>0</v>
      </c>
      <c r="M53" s="19">
        <v>0</v>
      </c>
      <c r="N53" s="19">
        <v>0</v>
      </c>
      <c r="O53" s="18">
        <f t="shared" si="30"/>
        <v>1523</v>
      </c>
      <c r="P53" s="19">
        <v>0</v>
      </c>
      <c r="Q53" s="19">
        <v>0</v>
      </c>
      <c r="R53" s="19">
        <f>2500-824.8-152.2</f>
        <v>1523</v>
      </c>
      <c r="S53" s="19">
        <v>0</v>
      </c>
      <c r="T53" s="18">
        <f t="shared" si="31"/>
        <v>0</v>
      </c>
      <c r="U53" s="19">
        <v>0</v>
      </c>
      <c r="V53" s="19">
        <v>0</v>
      </c>
      <c r="W53" s="19">
        <v>0</v>
      </c>
      <c r="X53" s="19">
        <v>0</v>
      </c>
      <c r="Y53" s="18">
        <f t="shared" si="32"/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si="33"/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si="34"/>
        <v>0</v>
      </c>
      <c r="AJ53" s="19">
        <v>0</v>
      </c>
      <c r="AK53" s="19">
        <v>0</v>
      </c>
      <c r="AL53" s="19">
        <v>0</v>
      </c>
      <c r="AM53" s="19">
        <v>0</v>
      </c>
    </row>
    <row r="54" spans="1:39" s="2" customFormat="1" ht="63" outlineLevel="2" x14ac:dyDescent="0.25">
      <c r="A54" s="8" t="s">
        <v>528</v>
      </c>
      <c r="B54" s="42" t="s">
        <v>542</v>
      </c>
      <c r="C54" s="26" t="s">
        <v>32</v>
      </c>
      <c r="D54" s="26" t="s">
        <v>8</v>
      </c>
      <c r="E54" s="20">
        <f t="shared" si="38"/>
        <v>923</v>
      </c>
      <c r="F54" s="38">
        <f t="shared" si="37"/>
        <v>0</v>
      </c>
      <c r="G54" s="38">
        <f t="shared" si="26"/>
        <v>0</v>
      </c>
      <c r="H54" s="38">
        <f t="shared" si="27"/>
        <v>923</v>
      </c>
      <c r="I54" s="38">
        <f t="shared" si="28"/>
        <v>0</v>
      </c>
      <c r="J54" s="18">
        <f t="shared" si="29"/>
        <v>0</v>
      </c>
      <c r="K54" s="19">
        <v>0</v>
      </c>
      <c r="L54" s="19">
        <v>0</v>
      </c>
      <c r="M54" s="19">
        <v>0</v>
      </c>
      <c r="N54" s="19">
        <v>0</v>
      </c>
      <c r="O54" s="18">
        <f t="shared" si="30"/>
        <v>923</v>
      </c>
      <c r="P54" s="19">
        <v>0</v>
      </c>
      <c r="Q54" s="19">
        <v>0</v>
      </c>
      <c r="R54" s="19">
        <v>923</v>
      </c>
      <c r="S54" s="19">
        <v>0</v>
      </c>
      <c r="T54" s="18">
        <f t="shared" si="31"/>
        <v>0</v>
      </c>
      <c r="U54" s="19">
        <v>0</v>
      </c>
      <c r="V54" s="19">
        <v>0</v>
      </c>
      <c r="W54" s="19">
        <v>0</v>
      </c>
      <c r="X54" s="19">
        <v>0</v>
      </c>
      <c r="Y54" s="18">
        <f t="shared" si="32"/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si="33"/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si="34"/>
        <v>0</v>
      </c>
      <c r="AJ54" s="19">
        <v>0</v>
      </c>
      <c r="AK54" s="19">
        <v>0</v>
      </c>
      <c r="AL54" s="19">
        <v>0</v>
      </c>
      <c r="AM54" s="19">
        <v>0</v>
      </c>
    </row>
    <row r="55" spans="1:39" s="2" customFormat="1" ht="63" outlineLevel="2" x14ac:dyDescent="0.25">
      <c r="A55" s="8" t="s">
        <v>543</v>
      </c>
      <c r="B55" s="42" t="s">
        <v>581</v>
      </c>
      <c r="C55" s="26" t="s">
        <v>32</v>
      </c>
      <c r="D55" s="26" t="s">
        <v>118</v>
      </c>
      <c r="E55" s="20">
        <f t="shared" si="38"/>
        <v>5520.3</v>
      </c>
      <c r="F55" s="38">
        <f t="shared" si="37"/>
        <v>0</v>
      </c>
      <c r="G55" s="38">
        <f t="shared" si="26"/>
        <v>0</v>
      </c>
      <c r="H55" s="38">
        <f t="shared" si="27"/>
        <v>5520.3</v>
      </c>
      <c r="I55" s="38">
        <f t="shared" si="28"/>
        <v>0</v>
      </c>
      <c r="J55" s="18">
        <f t="shared" si="29"/>
        <v>0</v>
      </c>
      <c r="K55" s="19">
        <v>0</v>
      </c>
      <c r="L55" s="19">
        <v>0</v>
      </c>
      <c r="M55" s="19">
        <v>0</v>
      </c>
      <c r="N55" s="19">
        <v>0</v>
      </c>
      <c r="O55" s="18">
        <f t="shared" si="30"/>
        <v>0</v>
      </c>
      <c r="P55" s="19">
        <v>0</v>
      </c>
      <c r="Q55" s="19">
        <v>0</v>
      </c>
      <c r="R55" s="19">
        <f>4800-4800</f>
        <v>0</v>
      </c>
      <c r="S55" s="19">
        <v>0</v>
      </c>
      <c r="T55" s="18">
        <f t="shared" si="31"/>
        <v>5520.3</v>
      </c>
      <c r="U55" s="19">
        <v>0</v>
      </c>
      <c r="V55" s="19">
        <v>0</v>
      </c>
      <c r="W55" s="19">
        <f>4745.6+774.7</f>
        <v>5520.3</v>
      </c>
      <c r="X55" s="19">
        <v>0</v>
      </c>
      <c r="Y55" s="18">
        <f t="shared" si="32"/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si="33"/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si="34"/>
        <v>0</v>
      </c>
      <c r="AJ55" s="19">
        <v>0</v>
      </c>
      <c r="AK55" s="19">
        <v>0</v>
      </c>
      <c r="AL55" s="19">
        <v>0</v>
      </c>
      <c r="AM55" s="19">
        <v>0</v>
      </c>
    </row>
    <row r="56" spans="1:39" s="2" customFormat="1" ht="47.25" outlineLevel="2" x14ac:dyDescent="0.25">
      <c r="A56" s="8" t="s">
        <v>709</v>
      </c>
      <c r="B56" s="42" t="s">
        <v>583</v>
      </c>
      <c r="C56" s="26" t="s">
        <v>32</v>
      </c>
      <c r="D56" s="26" t="s">
        <v>118</v>
      </c>
      <c r="E56" s="20">
        <f t="shared" si="38"/>
        <v>1772.7</v>
      </c>
      <c r="F56" s="38">
        <f t="shared" si="37"/>
        <v>0</v>
      </c>
      <c r="G56" s="38">
        <f t="shared" si="26"/>
        <v>0</v>
      </c>
      <c r="H56" s="38">
        <f t="shared" si="27"/>
        <v>1772.7</v>
      </c>
      <c r="I56" s="38">
        <f t="shared" si="28"/>
        <v>0</v>
      </c>
      <c r="J56" s="18">
        <f t="shared" si="29"/>
        <v>0</v>
      </c>
      <c r="K56" s="19">
        <v>0</v>
      </c>
      <c r="L56" s="19">
        <v>0</v>
      </c>
      <c r="M56" s="19">
        <v>0</v>
      </c>
      <c r="N56" s="19">
        <v>0</v>
      </c>
      <c r="O56" s="18">
        <f t="shared" si="30"/>
        <v>1772.7</v>
      </c>
      <c r="P56" s="19">
        <v>0</v>
      </c>
      <c r="Q56" s="19">
        <v>0</v>
      </c>
      <c r="R56" s="19">
        <v>1772.7</v>
      </c>
      <c r="S56" s="19">
        <v>0</v>
      </c>
      <c r="T56" s="18">
        <f t="shared" si="31"/>
        <v>0</v>
      </c>
      <c r="U56" s="19">
        <v>0</v>
      </c>
      <c r="V56" s="19">
        <v>0</v>
      </c>
      <c r="W56" s="19">
        <v>0</v>
      </c>
      <c r="X56" s="19">
        <v>0</v>
      </c>
      <c r="Y56" s="18">
        <f t="shared" si="32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3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4"/>
        <v>0</v>
      </c>
      <c r="AJ56" s="19">
        <v>0</v>
      </c>
      <c r="AK56" s="19">
        <v>0</v>
      </c>
      <c r="AL56" s="19">
        <v>0</v>
      </c>
      <c r="AM56" s="19">
        <v>0</v>
      </c>
    </row>
    <row r="57" spans="1:39" s="2" customFormat="1" ht="47.25" outlineLevel="2" x14ac:dyDescent="0.25">
      <c r="A57" s="8" t="s">
        <v>710</v>
      </c>
      <c r="B57" s="42" t="s">
        <v>584</v>
      </c>
      <c r="C57" s="26" t="s">
        <v>32</v>
      </c>
      <c r="D57" s="26" t="s">
        <v>118</v>
      </c>
      <c r="E57" s="20">
        <f t="shared" si="38"/>
        <v>1466.5</v>
      </c>
      <c r="F57" s="38">
        <f t="shared" si="37"/>
        <v>0</v>
      </c>
      <c r="G57" s="38">
        <f t="shared" si="26"/>
        <v>0</v>
      </c>
      <c r="H57" s="38">
        <f t="shared" si="27"/>
        <v>1466.5</v>
      </c>
      <c r="I57" s="38">
        <f t="shared" si="28"/>
        <v>0</v>
      </c>
      <c r="J57" s="18">
        <f t="shared" si="29"/>
        <v>0</v>
      </c>
      <c r="K57" s="19">
        <v>0</v>
      </c>
      <c r="L57" s="19">
        <v>0</v>
      </c>
      <c r="M57" s="19">
        <v>0</v>
      </c>
      <c r="N57" s="19">
        <v>0</v>
      </c>
      <c r="O57" s="18">
        <f t="shared" si="30"/>
        <v>1466.5</v>
      </c>
      <c r="P57" s="19">
        <v>0</v>
      </c>
      <c r="Q57" s="19">
        <v>0</v>
      </c>
      <c r="R57" s="19">
        <v>1466.5</v>
      </c>
      <c r="S57" s="19">
        <v>0</v>
      </c>
      <c r="T57" s="18">
        <f t="shared" si="31"/>
        <v>0</v>
      </c>
      <c r="U57" s="19">
        <v>0</v>
      </c>
      <c r="V57" s="19">
        <v>0</v>
      </c>
      <c r="W57" s="19">
        <v>0</v>
      </c>
      <c r="X57" s="19">
        <v>0</v>
      </c>
      <c r="Y57" s="18">
        <f t="shared" si="32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3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4"/>
        <v>0</v>
      </c>
      <c r="AJ57" s="19">
        <v>0</v>
      </c>
      <c r="AK57" s="19">
        <v>0</v>
      </c>
      <c r="AL57" s="19">
        <v>0</v>
      </c>
      <c r="AM57" s="19">
        <v>0</v>
      </c>
    </row>
    <row r="58" spans="1:39" s="2" customFormat="1" ht="63" outlineLevel="2" x14ac:dyDescent="0.25">
      <c r="A58" s="8" t="s">
        <v>711</v>
      </c>
      <c r="B58" s="42" t="s">
        <v>582</v>
      </c>
      <c r="C58" s="26" t="s">
        <v>32</v>
      </c>
      <c r="D58" s="26" t="s">
        <v>118</v>
      </c>
      <c r="E58" s="20">
        <f t="shared" si="38"/>
        <v>4784.7</v>
      </c>
      <c r="F58" s="38">
        <f t="shared" si="37"/>
        <v>0</v>
      </c>
      <c r="G58" s="38">
        <f t="shared" si="26"/>
        <v>0</v>
      </c>
      <c r="H58" s="38">
        <f t="shared" si="27"/>
        <v>4784.7</v>
      </c>
      <c r="I58" s="38">
        <f t="shared" si="28"/>
        <v>0</v>
      </c>
      <c r="J58" s="18">
        <f t="shared" si="29"/>
        <v>0</v>
      </c>
      <c r="K58" s="19">
        <v>0</v>
      </c>
      <c r="L58" s="19">
        <v>0</v>
      </c>
      <c r="M58" s="19">
        <v>0</v>
      </c>
      <c r="N58" s="19">
        <v>0</v>
      </c>
      <c r="O58" s="18">
        <f t="shared" si="30"/>
        <v>3213.6</v>
      </c>
      <c r="P58" s="19">
        <v>0</v>
      </c>
      <c r="Q58" s="19">
        <v>0</v>
      </c>
      <c r="R58" s="19">
        <v>3213.6</v>
      </c>
      <c r="S58" s="19">
        <v>0</v>
      </c>
      <c r="T58" s="18">
        <f t="shared" si="31"/>
        <v>1571.1000000000001</v>
      </c>
      <c r="U58" s="19">
        <v>0</v>
      </c>
      <c r="V58" s="19">
        <v>0</v>
      </c>
      <c r="W58" s="19">
        <f>3146.3-1575.2</f>
        <v>1571.1000000000001</v>
      </c>
      <c r="X58" s="19">
        <v>0</v>
      </c>
      <c r="Y58" s="18">
        <f t="shared" si="32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3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4"/>
        <v>0</v>
      </c>
      <c r="AJ58" s="19">
        <v>0</v>
      </c>
      <c r="AK58" s="19">
        <v>0</v>
      </c>
      <c r="AL58" s="19">
        <v>0</v>
      </c>
      <c r="AM58" s="19">
        <v>0</v>
      </c>
    </row>
    <row r="59" spans="1:39" s="2" customFormat="1" ht="63" outlineLevel="2" x14ac:dyDescent="0.25">
      <c r="A59" s="8" t="s">
        <v>712</v>
      </c>
      <c r="B59" s="42" t="s">
        <v>731</v>
      </c>
      <c r="C59" s="26" t="s">
        <v>32</v>
      </c>
      <c r="D59" s="26" t="s">
        <v>118</v>
      </c>
      <c r="E59" s="20">
        <f t="shared" si="38"/>
        <v>88.7</v>
      </c>
      <c r="F59" s="38">
        <f t="shared" si="37"/>
        <v>0</v>
      </c>
      <c r="G59" s="38">
        <f t="shared" si="26"/>
        <v>0</v>
      </c>
      <c r="H59" s="38">
        <f t="shared" si="27"/>
        <v>88.7</v>
      </c>
      <c r="I59" s="38">
        <f t="shared" si="28"/>
        <v>0</v>
      </c>
      <c r="J59" s="18">
        <f t="shared" si="29"/>
        <v>0</v>
      </c>
      <c r="K59" s="19">
        <v>0</v>
      </c>
      <c r="L59" s="19">
        <v>0</v>
      </c>
      <c r="M59" s="19">
        <v>0</v>
      </c>
      <c r="N59" s="19">
        <v>0</v>
      </c>
      <c r="O59" s="18">
        <f t="shared" si="30"/>
        <v>88.7</v>
      </c>
      <c r="P59" s="19">
        <v>0</v>
      </c>
      <c r="Q59" s="19">
        <v>0</v>
      </c>
      <c r="R59" s="19">
        <v>88.7</v>
      </c>
      <c r="S59" s="19">
        <v>0</v>
      </c>
      <c r="T59" s="18">
        <f t="shared" si="31"/>
        <v>0</v>
      </c>
      <c r="U59" s="19">
        <v>0</v>
      </c>
      <c r="V59" s="19">
        <v>0</v>
      </c>
      <c r="W59" s="19">
        <v>0</v>
      </c>
      <c r="X59" s="19">
        <v>0</v>
      </c>
      <c r="Y59" s="18">
        <f t="shared" si="32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33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34"/>
        <v>0</v>
      </c>
      <c r="AJ59" s="19">
        <v>0</v>
      </c>
      <c r="AK59" s="19">
        <v>0</v>
      </c>
      <c r="AL59" s="19">
        <v>0</v>
      </c>
      <c r="AM59" s="19">
        <v>0</v>
      </c>
    </row>
    <row r="60" spans="1:39" s="2" customFormat="1" ht="63" outlineLevel="2" x14ac:dyDescent="0.25">
      <c r="A60" s="8" t="s">
        <v>730</v>
      </c>
      <c r="B60" s="42" t="s">
        <v>733</v>
      </c>
      <c r="C60" s="26" t="s">
        <v>32</v>
      </c>
      <c r="D60" s="26" t="s">
        <v>118</v>
      </c>
      <c r="E60" s="20">
        <f t="shared" si="38"/>
        <v>122.6</v>
      </c>
      <c r="F60" s="38">
        <f t="shared" si="37"/>
        <v>0</v>
      </c>
      <c r="G60" s="38">
        <f t="shared" si="26"/>
        <v>0</v>
      </c>
      <c r="H60" s="38">
        <f t="shared" si="27"/>
        <v>122.6</v>
      </c>
      <c r="I60" s="38">
        <f t="shared" si="28"/>
        <v>0</v>
      </c>
      <c r="J60" s="18">
        <f t="shared" si="29"/>
        <v>0</v>
      </c>
      <c r="K60" s="19">
        <v>0</v>
      </c>
      <c r="L60" s="19">
        <v>0</v>
      </c>
      <c r="M60" s="19">
        <v>0</v>
      </c>
      <c r="N60" s="19">
        <v>0</v>
      </c>
      <c r="O60" s="18">
        <f t="shared" si="30"/>
        <v>122.6</v>
      </c>
      <c r="P60" s="19">
        <v>0</v>
      </c>
      <c r="Q60" s="19">
        <v>0</v>
      </c>
      <c r="R60" s="19">
        <v>122.6</v>
      </c>
      <c r="S60" s="19">
        <v>0</v>
      </c>
      <c r="T60" s="18">
        <f t="shared" si="31"/>
        <v>0</v>
      </c>
      <c r="U60" s="19">
        <v>0</v>
      </c>
      <c r="V60" s="19">
        <v>0</v>
      </c>
      <c r="W60" s="19">
        <v>0</v>
      </c>
      <c r="X60" s="19">
        <v>0</v>
      </c>
      <c r="Y60" s="18">
        <f t="shared" si="32"/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si="33"/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si="34"/>
        <v>0</v>
      </c>
      <c r="AJ60" s="19">
        <v>0</v>
      </c>
      <c r="AK60" s="19">
        <v>0</v>
      </c>
      <c r="AL60" s="19">
        <v>0</v>
      </c>
      <c r="AM60" s="19">
        <v>0</v>
      </c>
    </row>
    <row r="61" spans="1:39" s="2" customFormat="1" ht="63" outlineLevel="2" x14ac:dyDescent="0.25">
      <c r="A61" s="8" t="s">
        <v>732</v>
      </c>
      <c r="B61" s="42" t="s">
        <v>734</v>
      </c>
      <c r="C61" s="26" t="s">
        <v>32</v>
      </c>
      <c r="D61" s="26" t="s">
        <v>118</v>
      </c>
      <c r="E61" s="20">
        <f t="shared" si="38"/>
        <v>408.3</v>
      </c>
      <c r="F61" s="38">
        <f t="shared" si="37"/>
        <v>0</v>
      </c>
      <c r="G61" s="38">
        <f t="shared" si="26"/>
        <v>0</v>
      </c>
      <c r="H61" s="38">
        <f t="shared" si="27"/>
        <v>408.3</v>
      </c>
      <c r="I61" s="38">
        <f t="shared" si="28"/>
        <v>0</v>
      </c>
      <c r="J61" s="18">
        <f t="shared" si="29"/>
        <v>0</v>
      </c>
      <c r="K61" s="19">
        <v>0</v>
      </c>
      <c r="L61" s="19">
        <v>0</v>
      </c>
      <c r="M61" s="19">
        <v>0</v>
      </c>
      <c r="N61" s="19">
        <v>0</v>
      </c>
      <c r="O61" s="18">
        <f t="shared" si="30"/>
        <v>408.3</v>
      </c>
      <c r="P61" s="19">
        <v>0</v>
      </c>
      <c r="Q61" s="19">
        <v>0</v>
      </c>
      <c r="R61" s="19">
        <v>408.3</v>
      </c>
      <c r="S61" s="19">
        <v>0</v>
      </c>
      <c r="T61" s="18">
        <f t="shared" si="31"/>
        <v>0</v>
      </c>
      <c r="U61" s="19">
        <v>0</v>
      </c>
      <c r="V61" s="19">
        <v>0</v>
      </c>
      <c r="W61" s="19">
        <v>0</v>
      </c>
      <c r="X61" s="19">
        <v>0</v>
      </c>
      <c r="Y61" s="18">
        <f t="shared" si="32"/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si="33"/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si="34"/>
        <v>0</v>
      </c>
      <c r="AJ61" s="19">
        <v>0</v>
      </c>
      <c r="AK61" s="19">
        <v>0</v>
      </c>
      <c r="AL61" s="19">
        <v>0</v>
      </c>
      <c r="AM61" s="19">
        <v>0</v>
      </c>
    </row>
    <row r="62" spans="1:39" s="2" customFormat="1" ht="63" outlineLevel="2" x14ac:dyDescent="0.25">
      <c r="A62" s="8" t="s">
        <v>735</v>
      </c>
      <c r="B62" s="42" t="s">
        <v>793</v>
      </c>
      <c r="C62" s="26" t="s">
        <v>32</v>
      </c>
      <c r="D62" s="26" t="s">
        <v>118</v>
      </c>
      <c r="E62" s="20">
        <f t="shared" si="38"/>
        <v>3812.7</v>
      </c>
      <c r="F62" s="38">
        <f t="shared" si="37"/>
        <v>0</v>
      </c>
      <c r="G62" s="38">
        <f t="shared" si="26"/>
        <v>0</v>
      </c>
      <c r="H62" s="38">
        <f t="shared" si="27"/>
        <v>3812.7</v>
      </c>
      <c r="I62" s="38">
        <f t="shared" si="28"/>
        <v>0</v>
      </c>
      <c r="J62" s="18">
        <f t="shared" si="29"/>
        <v>0</v>
      </c>
      <c r="K62" s="19">
        <v>0</v>
      </c>
      <c r="L62" s="19">
        <v>0</v>
      </c>
      <c r="M62" s="19">
        <v>0</v>
      </c>
      <c r="N62" s="19">
        <v>0</v>
      </c>
      <c r="O62" s="18">
        <f t="shared" si="30"/>
        <v>0</v>
      </c>
      <c r="P62" s="19">
        <v>0</v>
      </c>
      <c r="Q62" s="19">
        <v>0</v>
      </c>
      <c r="R62" s="19">
        <v>0</v>
      </c>
      <c r="S62" s="19">
        <v>0</v>
      </c>
      <c r="T62" s="18">
        <f t="shared" si="31"/>
        <v>3812.7</v>
      </c>
      <c r="U62" s="19">
        <v>0</v>
      </c>
      <c r="V62" s="19">
        <v>0</v>
      </c>
      <c r="W62" s="19">
        <v>3812.7</v>
      </c>
      <c r="X62" s="19">
        <v>0</v>
      </c>
      <c r="Y62" s="18">
        <f t="shared" si="32"/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si="33"/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si="34"/>
        <v>0</v>
      </c>
      <c r="AJ62" s="19">
        <v>0</v>
      </c>
      <c r="AK62" s="19">
        <v>0</v>
      </c>
      <c r="AL62" s="19">
        <v>0</v>
      </c>
      <c r="AM62" s="19">
        <v>0</v>
      </c>
    </row>
    <row r="63" spans="1:39" s="2" customFormat="1" ht="78.75" outlineLevel="2" x14ac:dyDescent="0.25">
      <c r="A63" s="8" t="s">
        <v>804</v>
      </c>
      <c r="B63" s="42" t="s">
        <v>805</v>
      </c>
      <c r="C63" s="26" t="s">
        <v>32</v>
      </c>
      <c r="D63" s="26" t="s">
        <v>118</v>
      </c>
      <c r="E63" s="20">
        <f t="shared" si="38"/>
        <v>215.7</v>
      </c>
      <c r="F63" s="38">
        <f t="shared" si="37"/>
        <v>0</v>
      </c>
      <c r="G63" s="38">
        <f t="shared" si="26"/>
        <v>0</v>
      </c>
      <c r="H63" s="38">
        <f t="shared" si="27"/>
        <v>215.7</v>
      </c>
      <c r="I63" s="38">
        <f t="shared" si="28"/>
        <v>0</v>
      </c>
      <c r="J63" s="18">
        <f t="shared" si="29"/>
        <v>0</v>
      </c>
      <c r="K63" s="19">
        <v>0</v>
      </c>
      <c r="L63" s="19">
        <v>0</v>
      </c>
      <c r="M63" s="19">
        <v>0</v>
      </c>
      <c r="N63" s="19">
        <v>0</v>
      </c>
      <c r="O63" s="18">
        <f t="shared" si="30"/>
        <v>215.7</v>
      </c>
      <c r="P63" s="19">
        <v>0</v>
      </c>
      <c r="Q63" s="19">
        <v>0</v>
      </c>
      <c r="R63" s="19">
        <v>215.7</v>
      </c>
      <c r="S63" s="19">
        <v>0</v>
      </c>
      <c r="T63" s="18">
        <f t="shared" si="31"/>
        <v>0</v>
      </c>
      <c r="U63" s="19">
        <v>0</v>
      </c>
      <c r="V63" s="19">
        <v>0</v>
      </c>
      <c r="W63" s="19">
        <v>0</v>
      </c>
      <c r="X63" s="19">
        <v>0</v>
      </c>
      <c r="Y63" s="18">
        <f t="shared" si="32"/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si="33"/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si="34"/>
        <v>0</v>
      </c>
      <c r="AJ63" s="19">
        <v>0</v>
      </c>
      <c r="AK63" s="19">
        <v>0</v>
      </c>
      <c r="AL63" s="19">
        <v>0</v>
      </c>
      <c r="AM63" s="19">
        <v>0</v>
      </c>
    </row>
    <row r="64" spans="1:39" s="2" customFormat="1" ht="63" outlineLevel="2" x14ac:dyDescent="0.25">
      <c r="A64" s="8" t="s">
        <v>835</v>
      </c>
      <c r="B64" s="42" t="s">
        <v>867</v>
      </c>
      <c r="C64" s="26" t="s">
        <v>32</v>
      </c>
      <c r="D64" s="26" t="s">
        <v>118</v>
      </c>
      <c r="E64" s="20">
        <f t="shared" ref="E64:E75" si="39">H64</f>
        <v>4737</v>
      </c>
      <c r="F64" s="38">
        <f t="shared" si="37"/>
        <v>0</v>
      </c>
      <c r="G64" s="38">
        <f>L64+Q64+V64+AA64+AF64+AK64</f>
        <v>0</v>
      </c>
      <c r="H64" s="38">
        <f t="shared" ref="H64:H75" si="40">M64+R64+W64+AB64+AG64+AL64</f>
        <v>4737</v>
      </c>
      <c r="I64" s="38"/>
      <c r="J64" s="18"/>
      <c r="K64" s="19"/>
      <c r="L64" s="19"/>
      <c r="M64" s="19"/>
      <c r="N64" s="19"/>
      <c r="O64" s="18"/>
      <c r="P64" s="19"/>
      <c r="Q64" s="19"/>
      <c r="R64" s="19"/>
      <c r="S64" s="19"/>
      <c r="T64" s="18">
        <f>W64</f>
        <v>4737</v>
      </c>
      <c r="U64" s="19"/>
      <c r="V64" s="19"/>
      <c r="W64" s="19">
        <f>4180+557</f>
        <v>4737</v>
      </c>
      <c r="X64" s="19"/>
      <c r="Y64" s="18">
        <f t="shared" si="32"/>
        <v>0</v>
      </c>
      <c r="Z64" s="19"/>
      <c r="AA64" s="19"/>
      <c r="AB64" s="19"/>
      <c r="AC64" s="19"/>
      <c r="AD64" s="18"/>
      <c r="AE64" s="19"/>
      <c r="AF64" s="19"/>
      <c r="AG64" s="19"/>
      <c r="AH64" s="19"/>
      <c r="AI64" s="18"/>
      <c r="AJ64" s="19"/>
      <c r="AK64" s="19"/>
      <c r="AL64" s="19"/>
      <c r="AM64" s="19"/>
    </row>
    <row r="65" spans="1:39" s="2" customFormat="1" ht="45" outlineLevel="2" x14ac:dyDescent="0.25">
      <c r="A65" s="8" t="s">
        <v>866</v>
      </c>
      <c r="B65" s="127" t="s">
        <v>911</v>
      </c>
      <c r="C65" s="26" t="s">
        <v>32</v>
      </c>
      <c r="D65" s="26" t="s">
        <v>118</v>
      </c>
      <c r="E65" s="20">
        <f t="shared" si="39"/>
        <v>3044</v>
      </c>
      <c r="F65" s="38"/>
      <c r="G65" s="38"/>
      <c r="H65" s="38">
        <f t="shared" si="40"/>
        <v>3044</v>
      </c>
      <c r="I65" s="38"/>
      <c r="J65" s="18"/>
      <c r="K65" s="19"/>
      <c r="L65" s="19"/>
      <c r="M65" s="19"/>
      <c r="N65" s="19"/>
      <c r="O65" s="18"/>
      <c r="P65" s="19"/>
      <c r="Q65" s="19"/>
      <c r="R65" s="19"/>
      <c r="S65" s="19"/>
      <c r="T65" s="18">
        <f>W65</f>
        <v>3044</v>
      </c>
      <c r="U65" s="19"/>
      <c r="V65" s="19"/>
      <c r="W65" s="45">
        <v>3044</v>
      </c>
      <c r="X65" s="19"/>
      <c r="Y65" s="18">
        <f t="shared" si="32"/>
        <v>0</v>
      </c>
      <c r="Z65" s="19"/>
      <c r="AA65" s="19"/>
      <c r="AB65" s="19"/>
      <c r="AC65" s="19"/>
      <c r="AD65" s="18"/>
      <c r="AE65" s="19"/>
      <c r="AF65" s="19"/>
      <c r="AG65" s="19"/>
      <c r="AH65" s="19"/>
      <c r="AI65" s="18"/>
      <c r="AJ65" s="19"/>
      <c r="AK65" s="19"/>
      <c r="AL65" s="19"/>
      <c r="AM65" s="19"/>
    </row>
    <row r="66" spans="1:39" s="2" customFormat="1" ht="60" outlineLevel="2" x14ac:dyDescent="0.25">
      <c r="A66" s="8" t="s">
        <v>920</v>
      </c>
      <c r="B66" s="127" t="s">
        <v>912</v>
      </c>
      <c r="C66" s="26" t="s">
        <v>32</v>
      </c>
      <c r="D66" s="26" t="s">
        <v>118</v>
      </c>
      <c r="E66" s="20">
        <f t="shared" si="39"/>
        <v>900</v>
      </c>
      <c r="F66" s="38"/>
      <c r="G66" s="38"/>
      <c r="H66" s="38">
        <f t="shared" si="40"/>
        <v>900</v>
      </c>
      <c r="I66" s="38"/>
      <c r="J66" s="18"/>
      <c r="K66" s="19"/>
      <c r="L66" s="19"/>
      <c r="M66" s="19"/>
      <c r="N66" s="19"/>
      <c r="O66" s="18"/>
      <c r="P66" s="19"/>
      <c r="Q66" s="19"/>
      <c r="R66" s="19"/>
      <c r="S66" s="19"/>
      <c r="T66" s="18">
        <f>W66</f>
        <v>900</v>
      </c>
      <c r="U66" s="19"/>
      <c r="V66" s="19"/>
      <c r="W66" s="19">
        <v>900</v>
      </c>
      <c r="X66" s="19"/>
      <c r="Y66" s="18">
        <f t="shared" si="32"/>
        <v>0</v>
      </c>
      <c r="Z66" s="19"/>
      <c r="AA66" s="19"/>
      <c r="AB66" s="19"/>
      <c r="AC66" s="19"/>
      <c r="AD66" s="18"/>
      <c r="AE66" s="19"/>
      <c r="AF66" s="19"/>
      <c r="AG66" s="19"/>
      <c r="AH66" s="19"/>
      <c r="AI66" s="18"/>
      <c r="AJ66" s="19"/>
      <c r="AK66" s="19"/>
      <c r="AL66" s="19"/>
      <c r="AM66" s="19"/>
    </row>
    <row r="67" spans="1:39" s="2" customFormat="1" ht="60" outlineLevel="2" x14ac:dyDescent="0.25">
      <c r="A67" s="8" t="s">
        <v>921</v>
      </c>
      <c r="B67" s="127" t="s">
        <v>913</v>
      </c>
      <c r="C67" s="26" t="s">
        <v>32</v>
      </c>
      <c r="D67" s="26" t="s">
        <v>118</v>
      </c>
      <c r="E67" s="20">
        <f t="shared" si="39"/>
        <v>3200</v>
      </c>
      <c r="F67" s="38"/>
      <c r="G67" s="38"/>
      <c r="H67" s="38">
        <f t="shared" si="40"/>
        <v>3200</v>
      </c>
      <c r="I67" s="38"/>
      <c r="J67" s="18"/>
      <c r="K67" s="19"/>
      <c r="L67" s="19"/>
      <c r="M67" s="19"/>
      <c r="N67" s="19"/>
      <c r="O67" s="18"/>
      <c r="P67" s="19"/>
      <c r="Q67" s="19"/>
      <c r="R67" s="19"/>
      <c r="S67" s="19"/>
      <c r="T67" s="18">
        <f t="shared" ref="T67:T75" si="41">W67</f>
        <v>3200</v>
      </c>
      <c r="U67" s="19"/>
      <c r="V67" s="19"/>
      <c r="W67" s="19">
        <v>3200</v>
      </c>
      <c r="X67" s="19"/>
      <c r="Y67" s="18">
        <f t="shared" si="32"/>
        <v>0</v>
      </c>
      <c r="Z67" s="19"/>
      <c r="AA67" s="19"/>
      <c r="AB67" s="19"/>
      <c r="AC67" s="19"/>
      <c r="AD67" s="18"/>
      <c r="AE67" s="19"/>
      <c r="AF67" s="19"/>
      <c r="AG67" s="19"/>
      <c r="AH67" s="19"/>
      <c r="AI67" s="18"/>
      <c r="AJ67" s="19"/>
      <c r="AK67" s="19"/>
      <c r="AL67" s="19"/>
      <c r="AM67" s="19"/>
    </row>
    <row r="68" spans="1:39" s="2" customFormat="1" ht="42.75" customHeight="1" outlineLevel="2" x14ac:dyDescent="0.25">
      <c r="A68" s="8" t="s">
        <v>922</v>
      </c>
      <c r="B68" s="127" t="s">
        <v>914</v>
      </c>
      <c r="C68" s="26" t="s">
        <v>32</v>
      </c>
      <c r="D68" s="26" t="s">
        <v>118</v>
      </c>
      <c r="E68" s="20">
        <f t="shared" si="39"/>
        <v>900</v>
      </c>
      <c r="F68" s="38"/>
      <c r="G68" s="38"/>
      <c r="H68" s="38">
        <f t="shared" si="40"/>
        <v>900</v>
      </c>
      <c r="I68" s="38"/>
      <c r="J68" s="18"/>
      <c r="K68" s="19"/>
      <c r="L68" s="19"/>
      <c r="M68" s="19"/>
      <c r="N68" s="19"/>
      <c r="O68" s="18"/>
      <c r="P68" s="19"/>
      <c r="Q68" s="19"/>
      <c r="R68" s="19"/>
      <c r="S68" s="19"/>
      <c r="T68" s="18">
        <f t="shared" si="41"/>
        <v>900</v>
      </c>
      <c r="U68" s="19"/>
      <c r="V68" s="19"/>
      <c r="W68" s="19">
        <v>900</v>
      </c>
      <c r="X68" s="19"/>
      <c r="Y68" s="18">
        <f t="shared" si="32"/>
        <v>0</v>
      </c>
      <c r="Z68" s="19"/>
      <c r="AA68" s="19"/>
      <c r="AB68" s="19"/>
      <c r="AC68" s="19"/>
      <c r="AD68" s="18"/>
      <c r="AE68" s="19"/>
      <c r="AF68" s="19"/>
      <c r="AG68" s="19"/>
      <c r="AH68" s="19"/>
      <c r="AI68" s="18"/>
      <c r="AJ68" s="19"/>
      <c r="AK68" s="19"/>
      <c r="AL68" s="19"/>
      <c r="AM68" s="19"/>
    </row>
    <row r="69" spans="1:39" s="2" customFormat="1" ht="62.25" customHeight="1" outlineLevel="2" x14ac:dyDescent="0.25">
      <c r="A69" s="8" t="s">
        <v>923</v>
      </c>
      <c r="B69" s="127" t="s">
        <v>915</v>
      </c>
      <c r="C69" s="26" t="s">
        <v>32</v>
      </c>
      <c r="D69" s="26" t="s">
        <v>118</v>
      </c>
      <c r="E69" s="20">
        <f t="shared" si="39"/>
        <v>154.30000000000001</v>
      </c>
      <c r="F69" s="38"/>
      <c r="G69" s="38"/>
      <c r="H69" s="38">
        <f t="shared" si="40"/>
        <v>154.30000000000001</v>
      </c>
      <c r="I69" s="38"/>
      <c r="J69" s="18"/>
      <c r="K69" s="19"/>
      <c r="L69" s="19"/>
      <c r="M69" s="19"/>
      <c r="N69" s="19"/>
      <c r="O69" s="18"/>
      <c r="P69" s="19"/>
      <c r="Q69" s="19"/>
      <c r="R69" s="19"/>
      <c r="S69" s="19"/>
      <c r="T69" s="18">
        <f t="shared" si="41"/>
        <v>154.30000000000001</v>
      </c>
      <c r="U69" s="19"/>
      <c r="V69" s="19"/>
      <c r="W69" s="19">
        <v>154.30000000000001</v>
      </c>
      <c r="X69" s="19"/>
      <c r="Y69" s="18">
        <f t="shared" si="32"/>
        <v>0</v>
      </c>
      <c r="Z69" s="19"/>
      <c r="AA69" s="19"/>
      <c r="AB69" s="19"/>
      <c r="AC69" s="19"/>
      <c r="AD69" s="18"/>
      <c r="AE69" s="19"/>
      <c r="AF69" s="19"/>
      <c r="AG69" s="19"/>
      <c r="AH69" s="19"/>
      <c r="AI69" s="18"/>
      <c r="AJ69" s="19"/>
      <c r="AK69" s="19"/>
      <c r="AL69" s="19"/>
      <c r="AM69" s="19"/>
    </row>
    <row r="70" spans="1:39" s="2" customFormat="1" ht="45" outlineLevel="2" x14ac:dyDescent="0.25">
      <c r="A70" s="8" t="s">
        <v>924</v>
      </c>
      <c r="B70" s="127" t="s">
        <v>916</v>
      </c>
      <c r="C70" s="26" t="s">
        <v>32</v>
      </c>
      <c r="D70" s="26" t="s">
        <v>118</v>
      </c>
      <c r="E70" s="20">
        <f t="shared" si="39"/>
        <v>1900</v>
      </c>
      <c r="F70" s="38"/>
      <c r="G70" s="38"/>
      <c r="H70" s="38">
        <f t="shared" si="40"/>
        <v>1900</v>
      </c>
      <c r="I70" s="38"/>
      <c r="J70" s="18"/>
      <c r="K70" s="19"/>
      <c r="L70" s="19"/>
      <c r="M70" s="19"/>
      <c r="N70" s="19"/>
      <c r="O70" s="18"/>
      <c r="P70" s="19"/>
      <c r="Q70" s="19"/>
      <c r="R70" s="19"/>
      <c r="S70" s="19"/>
      <c r="T70" s="18">
        <f t="shared" si="41"/>
        <v>1900</v>
      </c>
      <c r="U70" s="19"/>
      <c r="V70" s="19"/>
      <c r="W70" s="19">
        <v>1900</v>
      </c>
      <c r="X70" s="19"/>
      <c r="Y70" s="18">
        <f t="shared" si="32"/>
        <v>0</v>
      </c>
      <c r="Z70" s="19"/>
      <c r="AA70" s="19"/>
      <c r="AB70" s="19"/>
      <c r="AC70" s="19"/>
      <c r="AD70" s="18"/>
      <c r="AE70" s="19"/>
      <c r="AF70" s="19"/>
      <c r="AG70" s="19"/>
      <c r="AH70" s="19"/>
      <c r="AI70" s="18"/>
      <c r="AJ70" s="19"/>
      <c r="AK70" s="19"/>
      <c r="AL70" s="19"/>
      <c r="AM70" s="19"/>
    </row>
    <row r="71" spans="1:39" s="2" customFormat="1" ht="89.25" customHeight="1" outlineLevel="2" x14ac:dyDescent="0.25">
      <c r="A71" s="8" t="s">
        <v>925</v>
      </c>
      <c r="B71" s="127" t="s">
        <v>941</v>
      </c>
      <c r="C71" s="26" t="s">
        <v>32</v>
      </c>
      <c r="D71" s="26" t="s">
        <v>118</v>
      </c>
      <c r="E71" s="20">
        <f t="shared" si="39"/>
        <v>1400</v>
      </c>
      <c r="F71" s="38"/>
      <c r="G71" s="38"/>
      <c r="H71" s="38">
        <f t="shared" si="40"/>
        <v>1400</v>
      </c>
      <c r="I71" s="38"/>
      <c r="J71" s="18"/>
      <c r="K71" s="19"/>
      <c r="L71" s="19"/>
      <c r="M71" s="19"/>
      <c r="N71" s="19"/>
      <c r="O71" s="18"/>
      <c r="P71" s="19"/>
      <c r="Q71" s="19"/>
      <c r="R71" s="19"/>
      <c r="S71" s="19"/>
      <c r="T71" s="18">
        <f t="shared" si="41"/>
        <v>1400</v>
      </c>
      <c r="U71" s="19"/>
      <c r="V71" s="19"/>
      <c r="W71" s="19">
        <v>1400</v>
      </c>
      <c r="X71" s="19"/>
      <c r="Y71" s="18">
        <f t="shared" si="32"/>
        <v>0</v>
      </c>
      <c r="Z71" s="19"/>
      <c r="AA71" s="19"/>
      <c r="AB71" s="19"/>
      <c r="AC71" s="19"/>
      <c r="AD71" s="18"/>
      <c r="AE71" s="19"/>
      <c r="AF71" s="19"/>
      <c r="AG71" s="19"/>
      <c r="AH71" s="19"/>
      <c r="AI71" s="18"/>
      <c r="AJ71" s="19"/>
      <c r="AK71" s="19"/>
      <c r="AL71" s="19"/>
      <c r="AM71" s="19"/>
    </row>
    <row r="72" spans="1:39" s="2" customFormat="1" ht="60" outlineLevel="2" x14ac:dyDescent="0.25">
      <c r="A72" s="8" t="s">
        <v>926</v>
      </c>
      <c r="B72" s="127" t="s">
        <v>942</v>
      </c>
      <c r="C72" s="26" t="s">
        <v>32</v>
      </c>
      <c r="D72" s="26" t="s">
        <v>118</v>
      </c>
      <c r="E72" s="20">
        <f t="shared" si="39"/>
        <v>4000</v>
      </c>
      <c r="F72" s="38"/>
      <c r="G72" s="38"/>
      <c r="H72" s="38">
        <f t="shared" si="40"/>
        <v>4000</v>
      </c>
      <c r="I72" s="38"/>
      <c r="J72" s="18"/>
      <c r="K72" s="19"/>
      <c r="L72" s="19"/>
      <c r="M72" s="19"/>
      <c r="N72" s="19"/>
      <c r="O72" s="18"/>
      <c r="P72" s="19"/>
      <c r="Q72" s="19"/>
      <c r="R72" s="19"/>
      <c r="S72" s="19"/>
      <c r="T72" s="18">
        <f t="shared" si="41"/>
        <v>4000</v>
      </c>
      <c r="U72" s="19"/>
      <c r="V72" s="19"/>
      <c r="W72" s="19">
        <f>3200+800</f>
        <v>4000</v>
      </c>
      <c r="X72" s="19"/>
      <c r="Y72" s="18">
        <f t="shared" si="32"/>
        <v>0</v>
      </c>
      <c r="Z72" s="19"/>
      <c r="AA72" s="19"/>
      <c r="AB72" s="19"/>
      <c r="AC72" s="19"/>
      <c r="AD72" s="18"/>
      <c r="AE72" s="19"/>
      <c r="AF72" s="19"/>
      <c r="AG72" s="19"/>
      <c r="AH72" s="19"/>
      <c r="AI72" s="18"/>
      <c r="AJ72" s="19"/>
      <c r="AK72" s="19"/>
      <c r="AL72" s="19"/>
      <c r="AM72" s="19"/>
    </row>
    <row r="73" spans="1:39" s="2" customFormat="1" ht="60" outlineLevel="2" x14ac:dyDescent="0.25">
      <c r="A73" s="8" t="s">
        <v>927</v>
      </c>
      <c r="B73" s="127" t="s">
        <v>917</v>
      </c>
      <c r="C73" s="26" t="s">
        <v>32</v>
      </c>
      <c r="D73" s="26" t="s">
        <v>118</v>
      </c>
      <c r="E73" s="20">
        <f t="shared" si="39"/>
        <v>750</v>
      </c>
      <c r="F73" s="38"/>
      <c r="G73" s="38"/>
      <c r="H73" s="38">
        <f t="shared" si="40"/>
        <v>750</v>
      </c>
      <c r="I73" s="38"/>
      <c r="J73" s="18"/>
      <c r="K73" s="19"/>
      <c r="L73" s="19"/>
      <c r="M73" s="19"/>
      <c r="N73" s="19"/>
      <c r="O73" s="18"/>
      <c r="P73" s="19"/>
      <c r="Q73" s="19"/>
      <c r="R73" s="19"/>
      <c r="S73" s="19"/>
      <c r="T73" s="18">
        <f t="shared" si="41"/>
        <v>750</v>
      </c>
      <c r="U73" s="19"/>
      <c r="V73" s="19"/>
      <c r="W73" s="19">
        <v>750</v>
      </c>
      <c r="X73" s="19"/>
      <c r="Y73" s="18">
        <f t="shared" si="32"/>
        <v>0</v>
      </c>
      <c r="Z73" s="19"/>
      <c r="AA73" s="19"/>
      <c r="AB73" s="19"/>
      <c r="AC73" s="19"/>
      <c r="AD73" s="18"/>
      <c r="AE73" s="19"/>
      <c r="AF73" s="19"/>
      <c r="AG73" s="19"/>
      <c r="AH73" s="19"/>
      <c r="AI73" s="18"/>
      <c r="AJ73" s="19"/>
      <c r="AK73" s="19"/>
      <c r="AL73" s="19"/>
      <c r="AM73" s="19"/>
    </row>
    <row r="74" spans="1:39" s="2" customFormat="1" ht="60" outlineLevel="2" x14ac:dyDescent="0.25">
      <c r="A74" s="8" t="s">
        <v>928</v>
      </c>
      <c r="B74" s="127" t="s">
        <v>918</v>
      </c>
      <c r="C74" s="26" t="s">
        <v>32</v>
      </c>
      <c r="D74" s="26" t="s">
        <v>118</v>
      </c>
      <c r="E74" s="20">
        <f t="shared" si="39"/>
        <v>750</v>
      </c>
      <c r="F74" s="38"/>
      <c r="G74" s="38"/>
      <c r="H74" s="38">
        <f t="shared" si="40"/>
        <v>750</v>
      </c>
      <c r="I74" s="38"/>
      <c r="J74" s="18"/>
      <c r="K74" s="19"/>
      <c r="L74" s="19"/>
      <c r="M74" s="19"/>
      <c r="N74" s="19"/>
      <c r="O74" s="18"/>
      <c r="P74" s="19"/>
      <c r="Q74" s="19"/>
      <c r="R74" s="19"/>
      <c r="S74" s="19"/>
      <c r="T74" s="18">
        <f t="shared" si="41"/>
        <v>750</v>
      </c>
      <c r="U74" s="19"/>
      <c r="V74" s="19"/>
      <c r="W74" s="19">
        <v>750</v>
      </c>
      <c r="X74" s="19"/>
      <c r="Y74" s="18">
        <f t="shared" si="32"/>
        <v>0</v>
      </c>
      <c r="Z74" s="19"/>
      <c r="AA74" s="19"/>
      <c r="AB74" s="19"/>
      <c r="AC74" s="19"/>
      <c r="AD74" s="18"/>
      <c r="AE74" s="19"/>
      <c r="AF74" s="19"/>
      <c r="AG74" s="19"/>
      <c r="AH74" s="19"/>
      <c r="AI74" s="18"/>
      <c r="AJ74" s="19"/>
      <c r="AK74" s="19"/>
      <c r="AL74" s="19"/>
      <c r="AM74" s="19"/>
    </row>
    <row r="75" spans="1:39" s="2" customFormat="1" ht="60" outlineLevel="2" x14ac:dyDescent="0.25">
      <c r="A75" s="8" t="s">
        <v>929</v>
      </c>
      <c r="B75" s="128" t="s">
        <v>919</v>
      </c>
      <c r="C75" s="26" t="s">
        <v>32</v>
      </c>
      <c r="D75" s="26" t="s">
        <v>118</v>
      </c>
      <c r="E75" s="20">
        <f t="shared" si="39"/>
        <v>1000</v>
      </c>
      <c r="F75" s="38"/>
      <c r="G75" s="38"/>
      <c r="H75" s="38">
        <f t="shared" si="40"/>
        <v>1000</v>
      </c>
      <c r="I75" s="38"/>
      <c r="J75" s="18"/>
      <c r="K75" s="19"/>
      <c r="L75" s="19"/>
      <c r="M75" s="19"/>
      <c r="N75" s="19"/>
      <c r="O75" s="18"/>
      <c r="P75" s="19"/>
      <c r="Q75" s="19"/>
      <c r="R75" s="19"/>
      <c r="S75" s="19"/>
      <c r="T75" s="18">
        <f t="shared" si="41"/>
        <v>1000</v>
      </c>
      <c r="U75" s="19"/>
      <c r="V75" s="19"/>
      <c r="W75" s="19">
        <v>1000</v>
      </c>
      <c r="X75" s="19"/>
      <c r="Y75" s="18">
        <f t="shared" si="32"/>
        <v>0</v>
      </c>
      <c r="Z75" s="19"/>
      <c r="AA75" s="19"/>
      <c r="AB75" s="19"/>
      <c r="AC75" s="19"/>
      <c r="AD75" s="18"/>
      <c r="AE75" s="19"/>
      <c r="AF75" s="19"/>
      <c r="AG75" s="19"/>
      <c r="AH75" s="19"/>
      <c r="AI75" s="18"/>
      <c r="AJ75" s="19"/>
      <c r="AK75" s="19"/>
      <c r="AL75" s="19"/>
      <c r="AM75" s="19"/>
    </row>
    <row r="76" spans="1:39" s="2" customFormat="1" ht="94.5" outlineLevel="2" x14ac:dyDescent="0.25">
      <c r="A76" s="8" t="s">
        <v>965</v>
      </c>
      <c r="B76" s="121" t="s">
        <v>964</v>
      </c>
      <c r="C76" s="26" t="s">
        <v>32</v>
      </c>
      <c r="D76" s="26" t="s">
        <v>118</v>
      </c>
      <c r="E76" s="20">
        <f t="shared" ref="E76" si="42">H76</f>
        <v>450</v>
      </c>
      <c r="F76" s="38"/>
      <c r="G76" s="38"/>
      <c r="H76" s="38">
        <f t="shared" ref="H76" si="43">M76+R76+W76+AB76+AG76+AL76</f>
        <v>450</v>
      </c>
      <c r="I76" s="38"/>
      <c r="J76" s="18"/>
      <c r="K76" s="19"/>
      <c r="L76" s="19"/>
      <c r="M76" s="19"/>
      <c r="N76" s="19"/>
      <c r="O76" s="18"/>
      <c r="P76" s="19"/>
      <c r="Q76" s="19"/>
      <c r="R76" s="19"/>
      <c r="S76" s="19"/>
      <c r="T76" s="18">
        <f t="shared" ref="T76" si="44">W76</f>
        <v>450</v>
      </c>
      <c r="U76" s="19"/>
      <c r="V76" s="19"/>
      <c r="W76" s="19">
        <v>450</v>
      </c>
      <c r="X76" s="19"/>
      <c r="Y76" s="18">
        <f t="shared" si="32"/>
        <v>0</v>
      </c>
      <c r="Z76" s="19"/>
      <c r="AA76" s="19"/>
      <c r="AB76" s="19"/>
      <c r="AC76" s="19"/>
      <c r="AD76" s="18"/>
      <c r="AE76" s="19"/>
      <c r="AF76" s="19"/>
      <c r="AG76" s="19"/>
      <c r="AH76" s="19"/>
      <c r="AI76" s="18"/>
      <c r="AJ76" s="19"/>
      <c r="AK76" s="19"/>
      <c r="AL76" s="19"/>
      <c r="AM76" s="19"/>
    </row>
    <row r="77" spans="1:39" s="2" customFormat="1" ht="63" outlineLevel="2" x14ac:dyDescent="0.25">
      <c r="A77" s="8" t="s">
        <v>969</v>
      </c>
      <c r="B77" s="42" t="s">
        <v>968</v>
      </c>
      <c r="C77" s="26" t="s">
        <v>32</v>
      </c>
      <c r="D77" s="26" t="s">
        <v>118</v>
      </c>
      <c r="E77" s="20">
        <f t="shared" ref="E77" si="45">H77</f>
        <v>580.70000000000005</v>
      </c>
      <c r="F77" s="38"/>
      <c r="G77" s="38"/>
      <c r="H77" s="38">
        <f t="shared" ref="H77" si="46">M77+R77+W77+AB77+AG77+AL77</f>
        <v>580.70000000000005</v>
      </c>
      <c r="I77" s="38"/>
      <c r="J77" s="18"/>
      <c r="K77" s="19"/>
      <c r="L77" s="19"/>
      <c r="M77" s="19"/>
      <c r="N77" s="19"/>
      <c r="O77" s="18"/>
      <c r="P77" s="19"/>
      <c r="Q77" s="19"/>
      <c r="R77" s="19"/>
      <c r="S77" s="19"/>
      <c r="T77" s="18">
        <f t="shared" ref="T77" si="47">W77</f>
        <v>580.70000000000005</v>
      </c>
      <c r="U77" s="19"/>
      <c r="V77" s="19"/>
      <c r="W77" s="19">
        <v>580.70000000000005</v>
      </c>
      <c r="X77" s="19"/>
      <c r="Y77" s="18">
        <f t="shared" si="32"/>
        <v>0</v>
      </c>
      <c r="Z77" s="19"/>
      <c r="AA77" s="19"/>
      <c r="AB77" s="19"/>
      <c r="AC77" s="19"/>
      <c r="AD77" s="18"/>
      <c r="AE77" s="19"/>
      <c r="AF77" s="19"/>
      <c r="AG77" s="19"/>
      <c r="AH77" s="19"/>
      <c r="AI77" s="18"/>
      <c r="AJ77" s="19"/>
      <c r="AK77" s="19"/>
      <c r="AL77" s="19"/>
      <c r="AM77" s="19"/>
    </row>
    <row r="78" spans="1:39" s="2" customFormat="1" ht="60" outlineLevel="2" x14ac:dyDescent="0.25">
      <c r="A78" s="8" t="s">
        <v>970</v>
      </c>
      <c r="B78" s="123" t="s">
        <v>971</v>
      </c>
      <c r="C78" s="26" t="s">
        <v>32</v>
      </c>
      <c r="D78" s="26" t="s">
        <v>118</v>
      </c>
      <c r="E78" s="20">
        <f t="shared" ref="E78" si="48">H78</f>
        <v>3011.5</v>
      </c>
      <c r="F78" s="38"/>
      <c r="G78" s="38"/>
      <c r="H78" s="38">
        <f t="shared" ref="H78" si="49">M78+R78+W78+AB78+AG78+AL78</f>
        <v>3011.5</v>
      </c>
      <c r="I78" s="38"/>
      <c r="J78" s="18"/>
      <c r="K78" s="19"/>
      <c r="L78" s="19"/>
      <c r="M78" s="19"/>
      <c r="N78" s="19"/>
      <c r="O78" s="18"/>
      <c r="P78" s="19"/>
      <c r="Q78" s="19"/>
      <c r="R78" s="19"/>
      <c r="S78" s="19"/>
      <c r="T78" s="18">
        <f t="shared" ref="T78" si="50">W78</f>
        <v>3011.5</v>
      </c>
      <c r="U78" s="19"/>
      <c r="V78" s="19"/>
      <c r="W78" s="19">
        <v>3011.5</v>
      </c>
      <c r="X78" s="19"/>
      <c r="Y78" s="18">
        <f t="shared" si="32"/>
        <v>0</v>
      </c>
      <c r="Z78" s="19"/>
      <c r="AA78" s="19"/>
      <c r="AB78" s="19"/>
      <c r="AC78" s="19"/>
      <c r="AD78" s="18"/>
      <c r="AE78" s="19"/>
      <c r="AF78" s="19"/>
      <c r="AG78" s="19"/>
      <c r="AH78" s="19"/>
      <c r="AI78" s="18"/>
      <c r="AJ78" s="19"/>
      <c r="AK78" s="19"/>
      <c r="AL78" s="19"/>
      <c r="AM78" s="19"/>
    </row>
    <row r="79" spans="1:39" s="2" customFormat="1" ht="90" outlineLevel="2" x14ac:dyDescent="0.25">
      <c r="A79" s="8" t="s">
        <v>979</v>
      </c>
      <c r="B79" s="139" t="s">
        <v>1024</v>
      </c>
      <c r="C79" s="26" t="s">
        <v>32</v>
      </c>
      <c r="D79" s="26" t="s">
        <v>118</v>
      </c>
      <c r="E79" s="20">
        <f t="shared" ref="E79" si="51">H79</f>
        <v>90.8</v>
      </c>
      <c r="F79" s="38"/>
      <c r="G79" s="38"/>
      <c r="H79" s="38">
        <f t="shared" ref="H79" si="52">M79+R79+W79+AB79+AG79+AL79</f>
        <v>90.8</v>
      </c>
      <c r="I79" s="38"/>
      <c r="J79" s="18"/>
      <c r="K79" s="19"/>
      <c r="L79" s="19"/>
      <c r="M79" s="19"/>
      <c r="N79" s="19"/>
      <c r="O79" s="18"/>
      <c r="P79" s="19"/>
      <c r="Q79" s="19"/>
      <c r="R79" s="19"/>
      <c r="S79" s="19"/>
      <c r="T79" s="18">
        <f t="shared" ref="T79" si="53">W79</f>
        <v>90.8</v>
      </c>
      <c r="U79" s="19"/>
      <c r="V79" s="19"/>
      <c r="W79" s="19">
        <v>90.8</v>
      </c>
      <c r="X79" s="19"/>
      <c r="Y79" s="18">
        <f t="shared" si="32"/>
        <v>0</v>
      </c>
      <c r="Z79" s="19"/>
      <c r="AA79" s="19"/>
      <c r="AB79" s="19"/>
      <c r="AC79" s="19"/>
      <c r="AD79" s="18"/>
      <c r="AE79" s="19"/>
      <c r="AF79" s="19"/>
      <c r="AG79" s="19"/>
      <c r="AH79" s="19"/>
      <c r="AI79" s="18"/>
      <c r="AJ79" s="19"/>
      <c r="AK79" s="19"/>
      <c r="AL79" s="19"/>
      <c r="AM79" s="19"/>
    </row>
    <row r="80" spans="1:39" s="2" customFormat="1" ht="75" customHeight="1" outlineLevel="2" x14ac:dyDescent="0.25">
      <c r="A80" s="8" t="s">
        <v>984</v>
      </c>
      <c r="B80" s="140" t="s">
        <v>980</v>
      </c>
      <c r="C80" s="26" t="s">
        <v>32</v>
      </c>
      <c r="D80" s="26" t="s">
        <v>118</v>
      </c>
      <c r="E80" s="20">
        <f t="shared" ref="E80" si="54">H80</f>
        <v>4376.7</v>
      </c>
      <c r="F80" s="38"/>
      <c r="G80" s="38"/>
      <c r="H80" s="38">
        <f t="shared" ref="H80" si="55">M80+R80+W80+AB80+AG80+AL80</f>
        <v>4376.7</v>
      </c>
      <c r="I80" s="38"/>
      <c r="J80" s="18"/>
      <c r="K80" s="19"/>
      <c r="L80" s="19"/>
      <c r="M80" s="19"/>
      <c r="N80" s="19"/>
      <c r="O80" s="18"/>
      <c r="P80" s="19"/>
      <c r="Q80" s="19"/>
      <c r="R80" s="19"/>
      <c r="S80" s="19"/>
      <c r="T80" s="18">
        <f t="shared" ref="T80" si="56">W80</f>
        <v>10</v>
      </c>
      <c r="U80" s="19"/>
      <c r="V80" s="19"/>
      <c r="W80" s="19">
        <v>10</v>
      </c>
      <c r="X80" s="19"/>
      <c r="Y80" s="18">
        <f t="shared" si="32"/>
        <v>4366.7</v>
      </c>
      <c r="Z80" s="19"/>
      <c r="AA80" s="19"/>
      <c r="AB80" s="19">
        <v>4366.7</v>
      </c>
      <c r="AC80" s="19"/>
      <c r="AD80" s="18"/>
      <c r="AE80" s="19"/>
      <c r="AF80" s="19"/>
      <c r="AG80" s="19"/>
      <c r="AH80" s="19"/>
      <c r="AI80" s="18"/>
      <c r="AJ80" s="19"/>
      <c r="AK80" s="19"/>
      <c r="AL80" s="19"/>
      <c r="AM80" s="19"/>
    </row>
    <row r="81" spans="1:39" s="2" customFormat="1" ht="31.5" outlineLevel="2" x14ac:dyDescent="0.25">
      <c r="A81" s="8" t="s">
        <v>1020</v>
      </c>
      <c r="B81" s="43" t="s">
        <v>290</v>
      </c>
      <c r="C81" s="26" t="s">
        <v>32</v>
      </c>
      <c r="D81" s="26" t="s">
        <v>118</v>
      </c>
      <c r="E81" s="20">
        <f>SUM(F81:I81)</f>
        <v>54566.1</v>
      </c>
      <c r="F81" s="20">
        <f>K81</f>
        <v>0</v>
      </c>
      <c r="G81" s="38">
        <f>L81+Q81+V81+AA81+AF81+AK81</f>
        <v>0</v>
      </c>
      <c r="H81" s="38">
        <f>M81+R81+W81+AB81+AG81+AL81</f>
        <v>54566.1</v>
      </c>
      <c r="I81" s="38">
        <f>N81+S81+X81+AC81+AH81+AM81</f>
        <v>0</v>
      </c>
      <c r="J81" s="18">
        <f>SUM(K81:N81)</f>
        <v>0</v>
      </c>
      <c r="K81" s="19">
        <v>0</v>
      </c>
      <c r="L81" s="19">
        <v>0</v>
      </c>
      <c r="M81" s="19">
        <v>0</v>
      </c>
      <c r="N81" s="19">
        <v>0</v>
      </c>
      <c r="O81" s="18">
        <f>SUM(P81:S81)</f>
        <v>12001.499999999998</v>
      </c>
      <c r="P81" s="19">
        <v>0</v>
      </c>
      <c r="Q81" s="19">
        <v>0</v>
      </c>
      <c r="R81" s="19">
        <f>25926.6-1837-11252.8-88.7-122.6-408.3-215.7</f>
        <v>12001.499999999998</v>
      </c>
      <c r="S81" s="19">
        <v>0</v>
      </c>
      <c r="T81" s="18">
        <f>SUM(U81:X81)</f>
        <v>0</v>
      </c>
      <c r="U81" s="19">
        <v>0</v>
      </c>
      <c r="V81" s="19">
        <v>0</v>
      </c>
      <c r="W81" s="19">
        <f>26963.6-4745.6-3812.7-3146.3-4180-11079</f>
        <v>0</v>
      </c>
      <c r="X81" s="19">
        <v>0</v>
      </c>
      <c r="Y81" s="18">
        <f>SUM(Z81:AC81)</f>
        <v>18100.2</v>
      </c>
      <c r="Z81" s="19">
        <v>0</v>
      </c>
      <c r="AA81" s="19">
        <v>0</v>
      </c>
      <c r="AB81" s="19">
        <f>28042.2-5575.3-4366.7</f>
        <v>18100.2</v>
      </c>
      <c r="AC81" s="19">
        <v>0</v>
      </c>
      <c r="AD81" s="18">
        <f>SUM(AE81:AH81)</f>
        <v>24464.400000000001</v>
      </c>
      <c r="AE81" s="19">
        <v>0</v>
      </c>
      <c r="AF81" s="19">
        <v>0</v>
      </c>
      <c r="AG81" s="19">
        <f>29163.9-4608.7-90.8</f>
        <v>24464.400000000001</v>
      </c>
      <c r="AH81" s="19">
        <v>0</v>
      </c>
      <c r="AI81" s="18">
        <f>SUM(AJ81:AM81)</f>
        <v>0</v>
      </c>
      <c r="AJ81" s="19">
        <v>0</v>
      </c>
      <c r="AK81" s="19">
        <v>0</v>
      </c>
      <c r="AL81" s="19">
        <v>0</v>
      </c>
      <c r="AM81" s="19">
        <v>0</v>
      </c>
    </row>
    <row r="82" spans="1:39" s="2" customFormat="1" ht="33.75" customHeight="1" outlineLevel="1" x14ac:dyDescent="0.25">
      <c r="A82" s="138" t="s">
        <v>281</v>
      </c>
      <c r="B82" s="184" t="s">
        <v>280</v>
      </c>
      <c r="C82" s="184"/>
      <c r="D82" s="173"/>
      <c r="E82" s="20">
        <f>SUM(E83:E93)</f>
        <v>2560.1999999999998</v>
      </c>
      <c r="F82" s="20">
        <f t="shared" ref="F82:AM82" si="57">SUM(F83:F93)</f>
        <v>0</v>
      </c>
      <c r="G82" s="20">
        <f t="shared" si="57"/>
        <v>0</v>
      </c>
      <c r="H82" s="20">
        <f t="shared" si="57"/>
        <v>2560.1999999999998</v>
      </c>
      <c r="I82" s="20">
        <f t="shared" si="57"/>
        <v>0</v>
      </c>
      <c r="J82" s="20">
        <f t="shared" si="57"/>
        <v>729.1</v>
      </c>
      <c r="K82" s="20">
        <f t="shared" si="57"/>
        <v>0</v>
      </c>
      <c r="L82" s="20">
        <f t="shared" si="57"/>
        <v>0</v>
      </c>
      <c r="M82" s="20">
        <f t="shared" si="57"/>
        <v>729.1</v>
      </c>
      <c r="N82" s="20">
        <f t="shared" si="57"/>
        <v>0</v>
      </c>
      <c r="O82" s="20">
        <f t="shared" si="57"/>
        <v>728.5</v>
      </c>
      <c r="P82" s="20">
        <f t="shared" si="57"/>
        <v>0</v>
      </c>
      <c r="Q82" s="20">
        <f t="shared" si="57"/>
        <v>0</v>
      </c>
      <c r="R82" s="20">
        <f t="shared" si="57"/>
        <v>728.5</v>
      </c>
      <c r="S82" s="20">
        <f t="shared" si="57"/>
        <v>0</v>
      </c>
      <c r="T82" s="20">
        <f t="shared" si="57"/>
        <v>1102.5999999999999</v>
      </c>
      <c r="U82" s="20">
        <f t="shared" si="57"/>
        <v>0</v>
      </c>
      <c r="V82" s="20">
        <f t="shared" si="57"/>
        <v>0</v>
      </c>
      <c r="W82" s="20">
        <f t="shared" si="57"/>
        <v>1102.5999999999999</v>
      </c>
      <c r="X82" s="20">
        <f t="shared" si="57"/>
        <v>0</v>
      </c>
      <c r="Y82" s="20">
        <f t="shared" si="57"/>
        <v>0</v>
      </c>
      <c r="Z82" s="20">
        <f t="shared" si="57"/>
        <v>0</v>
      </c>
      <c r="AA82" s="20">
        <f t="shared" si="57"/>
        <v>0</v>
      </c>
      <c r="AB82" s="20">
        <f t="shared" si="57"/>
        <v>0</v>
      </c>
      <c r="AC82" s="20">
        <f t="shared" si="57"/>
        <v>0</v>
      </c>
      <c r="AD82" s="20">
        <f t="shared" si="57"/>
        <v>0</v>
      </c>
      <c r="AE82" s="20">
        <f t="shared" si="57"/>
        <v>0</v>
      </c>
      <c r="AF82" s="20">
        <f t="shared" si="57"/>
        <v>0</v>
      </c>
      <c r="AG82" s="20">
        <f t="shared" si="57"/>
        <v>0</v>
      </c>
      <c r="AH82" s="20">
        <f t="shared" si="57"/>
        <v>0</v>
      </c>
      <c r="AI82" s="20">
        <f t="shared" si="57"/>
        <v>0</v>
      </c>
      <c r="AJ82" s="20">
        <f t="shared" si="57"/>
        <v>0</v>
      </c>
      <c r="AK82" s="20">
        <f t="shared" si="57"/>
        <v>0</v>
      </c>
      <c r="AL82" s="20">
        <f t="shared" si="57"/>
        <v>0</v>
      </c>
      <c r="AM82" s="20">
        <f t="shared" si="57"/>
        <v>0</v>
      </c>
    </row>
    <row r="83" spans="1:39" s="2" customFormat="1" ht="78.75" outlineLevel="2" x14ac:dyDescent="0.25">
      <c r="A83" s="8" t="s">
        <v>282</v>
      </c>
      <c r="B83" s="25" t="s">
        <v>283</v>
      </c>
      <c r="C83" s="26" t="s">
        <v>377</v>
      </c>
      <c r="D83" s="26" t="s">
        <v>118</v>
      </c>
      <c r="E83" s="20">
        <f t="shared" ref="E83:E88" si="58">SUM(F83:I83)</f>
        <v>562.70000000000005</v>
      </c>
      <c r="F83" s="20">
        <f t="shared" ref="F83:F88" si="59">K83</f>
        <v>0</v>
      </c>
      <c r="G83" s="38">
        <f t="shared" ref="G83:I86" si="60">L83+Q83+V83+AA83+AF83+AK83</f>
        <v>0</v>
      </c>
      <c r="H83" s="38">
        <f t="shared" si="60"/>
        <v>562.70000000000005</v>
      </c>
      <c r="I83" s="38">
        <f t="shared" si="60"/>
        <v>0</v>
      </c>
      <c r="J83" s="18">
        <f>SUM(K83:N83)</f>
        <v>562.70000000000005</v>
      </c>
      <c r="K83" s="19">
        <v>0</v>
      </c>
      <c r="L83" s="19">
        <v>0</v>
      </c>
      <c r="M83" s="19">
        <f>565.5-2.8</f>
        <v>562.70000000000005</v>
      </c>
      <c r="N83" s="19">
        <v>0</v>
      </c>
      <c r="O83" s="18">
        <f>SUM(P83:S83)</f>
        <v>0</v>
      </c>
      <c r="P83" s="19">
        <v>0</v>
      </c>
      <c r="Q83" s="19">
        <v>0</v>
      </c>
      <c r="R83" s="19">
        <v>0</v>
      </c>
      <c r="S83" s="19">
        <v>0</v>
      </c>
      <c r="T83" s="18">
        <f>SUM(U83:X83)</f>
        <v>0</v>
      </c>
      <c r="U83" s="19">
        <v>0</v>
      </c>
      <c r="V83" s="19">
        <v>0</v>
      </c>
      <c r="W83" s="19">
        <v>0</v>
      </c>
      <c r="X83" s="19">
        <v>0</v>
      </c>
      <c r="Y83" s="18">
        <f>SUM(Z83:AC83)</f>
        <v>0</v>
      </c>
      <c r="Z83" s="19">
        <v>0</v>
      </c>
      <c r="AA83" s="19">
        <v>0</v>
      </c>
      <c r="AB83" s="19">
        <v>0</v>
      </c>
      <c r="AC83" s="19">
        <v>0</v>
      </c>
      <c r="AD83" s="18">
        <f>SUM(AE83:AH83)</f>
        <v>0</v>
      </c>
      <c r="AE83" s="19">
        <v>0</v>
      </c>
      <c r="AF83" s="19">
        <v>0</v>
      </c>
      <c r="AG83" s="19">
        <v>0</v>
      </c>
      <c r="AH83" s="19">
        <v>0</v>
      </c>
      <c r="AI83" s="18">
        <f>SUM(AJ83:AM83)</f>
        <v>0</v>
      </c>
      <c r="AJ83" s="19">
        <v>0</v>
      </c>
      <c r="AK83" s="19">
        <v>0</v>
      </c>
      <c r="AL83" s="19">
        <v>0</v>
      </c>
      <c r="AM83" s="19">
        <v>0</v>
      </c>
    </row>
    <row r="84" spans="1:39" s="2" customFormat="1" ht="78.75" outlineLevel="2" x14ac:dyDescent="0.25">
      <c r="A84" s="8" t="s">
        <v>336</v>
      </c>
      <c r="B84" s="24" t="s">
        <v>335</v>
      </c>
      <c r="C84" s="26" t="s">
        <v>377</v>
      </c>
      <c r="D84" s="26" t="s">
        <v>118</v>
      </c>
      <c r="E84" s="20">
        <f t="shared" si="58"/>
        <v>166.4</v>
      </c>
      <c r="F84" s="20">
        <f t="shared" si="59"/>
        <v>0</v>
      </c>
      <c r="G84" s="38">
        <f t="shared" si="60"/>
        <v>0</v>
      </c>
      <c r="H84" s="38">
        <f t="shared" si="60"/>
        <v>166.4</v>
      </c>
      <c r="I84" s="38">
        <f t="shared" si="60"/>
        <v>0</v>
      </c>
      <c r="J84" s="18">
        <f>M84</f>
        <v>166.4</v>
      </c>
      <c r="K84" s="19">
        <v>0</v>
      </c>
      <c r="L84" s="19">
        <v>0</v>
      </c>
      <c r="M84" s="19">
        <v>166.4</v>
      </c>
      <c r="N84" s="19">
        <v>0</v>
      </c>
      <c r="O84" s="18">
        <f>SUM(P84:S84)</f>
        <v>0</v>
      </c>
      <c r="P84" s="19">
        <v>0</v>
      </c>
      <c r="Q84" s="19">
        <v>0</v>
      </c>
      <c r="R84" s="19">
        <v>0</v>
      </c>
      <c r="S84" s="19">
        <v>0</v>
      </c>
      <c r="T84" s="18">
        <f>SUM(U84:X84)</f>
        <v>0</v>
      </c>
      <c r="U84" s="19">
        <v>0</v>
      </c>
      <c r="V84" s="19">
        <v>0</v>
      </c>
      <c r="W84" s="19">
        <v>0</v>
      </c>
      <c r="X84" s="19">
        <v>0</v>
      </c>
      <c r="Y84" s="18">
        <f>SUM(Z84:AC84)</f>
        <v>0</v>
      </c>
      <c r="Z84" s="19">
        <v>0</v>
      </c>
      <c r="AA84" s="19">
        <v>0</v>
      </c>
      <c r="AB84" s="19">
        <v>0</v>
      </c>
      <c r="AC84" s="19">
        <v>0</v>
      </c>
      <c r="AD84" s="18">
        <f>SUM(AE84:AH84)</f>
        <v>0</v>
      </c>
      <c r="AE84" s="19">
        <v>0</v>
      </c>
      <c r="AF84" s="19">
        <v>0</v>
      </c>
      <c r="AG84" s="19">
        <v>0</v>
      </c>
      <c r="AH84" s="19">
        <v>0</v>
      </c>
      <c r="AI84" s="18">
        <f>SUM(AJ84:AM84)</f>
        <v>0</v>
      </c>
      <c r="AJ84" s="19">
        <v>0</v>
      </c>
      <c r="AK84" s="19">
        <v>0</v>
      </c>
      <c r="AL84" s="19">
        <v>0</v>
      </c>
      <c r="AM84" s="19">
        <v>0</v>
      </c>
    </row>
    <row r="85" spans="1:39" s="2" customFormat="1" ht="94.5" outlineLevel="2" x14ac:dyDescent="0.25">
      <c r="A85" s="8" t="s">
        <v>483</v>
      </c>
      <c r="B85" s="24" t="s">
        <v>484</v>
      </c>
      <c r="C85" s="26" t="s">
        <v>32</v>
      </c>
      <c r="D85" s="26" t="s">
        <v>118</v>
      </c>
      <c r="E85" s="20">
        <f t="shared" si="58"/>
        <v>548</v>
      </c>
      <c r="F85" s="20">
        <f t="shared" si="59"/>
        <v>0</v>
      </c>
      <c r="G85" s="38">
        <f t="shared" si="60"/>
        <v>0</v>
      </c>
      <c r="H85" s="38">
        <f t="shared" si="60"/>
        <v>548</v>
      </c>
      <c r="I85" s="38">
        <f t="shared" si="60"/>
        <v>0</v>
      </c>
      <c r="J85" s="18">
        <f>M85</f>
        <v>0</v>
      </c>
      <c r="K85" s="19">
        <v>0</v>
      </c>
      <c r="L85" s="19">
        <v>0</v>
      </c>
      <c r="M85" s="19">
        <v>0</v>
      </c>
      <c r="N85" s="19">
        <v>0</v>
      </c>
      <c r="O85" s="18">
        <f>SUM(P85:S85)</f>
        <v>548</v>
      </c>
      <c r="P85" s="19">
        <v>0</v>
      </c>
      <c r="Q85" s="19">
        <v>0</v>
      </c>
      <c r="R85" s="19">
        <f>932.4-384.4</f>
        <v>548</v>
      </c>
      <c r="S85" s="19">
        <v>0</v>
      </c>
      <c r="T85" s="18">
        <f>SUM(U85:X85)</f>
        <v>0</v>
      </c>
      <c r="U85" s="19">
        <v>0</v>
      </c>
      <c r="V85" s="19">
        <v>0</v>
      </c>
      <c r="W85" s="19">
        <v>0</v>
      </c>
      <c r="X85" s="19">
        <v>0</v>
      </c>
      <c r="Y85" s="18">
        <f>SUM(Z85:AC85)</f>
        <v>0</v>
      </c>
      <c r="Z85" s="19">
        <v>0</v>
      </c>
      <c r="AA85" s="19">
        <v>0</v>
      </c>
      <c r="AB85" s="19">
        <v>0</v>
      </c>
      <c r="AC85" s="19">
        <v>0</v>
      </c>
      <c r="AD85" s="18">
        <f>SUM(AE85:AH85)</f>
        <v>0</v>
      </c>
      <c r="AE85" s="19">
        <v>0</v>
      </c>
      <c r="AF85" s="19">
        <v>0</v>
      </c>
      <c r="AG85" s="19">
        <v>0</v>
      </c>
      <c r="AH85" s="19">
        <v>0</v>
      </c>
      <c r="AI85" s="18">
        <f>SUM(AJ85:AM85)</f>
        <v>0</v>
      </c>
      <c r="AJ85" s="19">
        <v>0</v>
      </c>
      <c r="AK85" s="19">
        <v>0</v>
      </c>
      <c r="AL85" s="19">
        <v>0</v>
      </c>
      <c r="AM85" s="19">
        <v>0</v>
      </c>
    </row>
    <row r="86" spans="1:39" s="2" customFormat="1" ht="31.5" outlineLevel="2" x14ac:dyDescent="0.25">
      <c r="A86" s="8" t="s">
        <v>487</v>
      </c>
      <c r="B86" s="24" t="s">
        <v>488</v>
      </c>
      <c r="C86" s="26" t="s">
        <v>32</v>
      </c>
      <c r="D86" s="26" t="s">
        <v>118</v>
      </c>
      <c r="E86" s="20">
        <f t="shared" si="58"/>
        <v>180.5</v>
      </c>
      <c r="F86" s="20">
        <f t="shared" si="59"/>
        <v>0</v>
      </c>
      <c r="G86" s="38">
        <f t="shared" si="60"/>
        <v>0</v>
      </c>
      <c r="H86" s="38">
        <f t="shared" si="60"/>
        <v>180.5</v>
      </c>
      <c r="I86" s="38">
        <f t="shared" si="60"/>
        <v>0</v>
      </c>
      <c r="J86" s="18">
        <f>M86</f>
        <v>0</v>
      </c>
      <c r="K86" s="19">
        <v>0</v>
      </c>
      <c r="L86" s="19">
        <v>0</v>
      </c>
      <c r="M86" s="19">
        <v>0</v>
      </c>
      <c r="N86" s="19">
        <v>0</v>
      </c>
      <c r="O86" s="18">
        <f>SUM(P86:S86)</f>
        <v>180.5</v>
      </c>
      <c r="P86" s="19">
        <v>0</v>
      </c>
      <c r="Q86" s="19">
        <v>0</v>
      </c>
      <c r="R86" s="19">
        <v>180.5</v>
      </c>
      <c r="S86" s="19">
        <v>0</v>
      </c>
      <c r="T86" s="18">
        <f>SUM(U86:X86)</f>
        <v>0</v>
      </c>
      <c r="U86" s="19">
        <v>0</v>
      </c>
      <c r="V86" s="19">
        <v>0</v>
      </c>
      <c r="W86" s="19">
        <v>0</v>
      </c>
      <c r="X86" s="19">
        <v>0</v>
      </c>
      <c r="Y86" s="18">
        <f>SUM(Z86:AC86)</f>
        <v>0</v>
      </c>
      <c r="Z86" s="19">
        <v>0</v>
      </c>
      <c r="AA86" s="19">
        <v>0</v>
      </c>
      <c r="AB86" s="19">
        <v>0</v>
      </c>
      <c r="AC86" s="19">
        <v>0</v>
      </c>
      <c r="AD86" s="18">
        <f>SUM(AE86:AH86)</f>
        <v>0</v>
      </c>
      <c r="AE86" s="19">
        <v>0</v>
      </c>
      <c r="AF86" s="19">
        <v>0</v>
      </c>
      <c r="AG86" s="19">
        <v>0</v>
      </c>
      <c r="AH86" s="19">
        <v>0</v>
      </c>
      <c r="AI86" s="18">
        <f>SUM(AJ86:AM86)</f>
        <v>0</v>
      </c>
      <c r="AJ86" s="19">
        <v>0</v>
      </c>
      <c r="AK86" s="19">
        <v>0</v>
      </c>
      <c r="AL86" s="19">
        <v>0</v>
      </c>
      <c r="AM86" s="19">
        <v>0</v>
      </c>
    </row>
    <row r="87" spans="1:39" s="2" customFormat="1" ht="51.75" customHeight="1" outlineLevel="2" x14ac:dyDescent="0.25">
      <c r="A87" s="8" t="s">
        <v>839</v>
      </c>
      <c r="B87" s="24" t="s">
        <v>840</v>
      </c>
      <c r="C87" s="26" t="s">
        <v>32</v>
      </c>
      <c r="D87" s="26" t="s">
        <v>118</v>
      </c>
      <c r="E87" s="20">
        <f t="shared" si="58"/>
        <v>224.2</v>
      </c>
      <c r="F87" s="20">
        <f t="shared" si="59"/>
        <v>0</v>
      </c>
      <c r="G87" s="38">
        <f t="shared" ref="G87:H93" si="61">L87+Q87+V87+AA87+AF87+AK87</f>
        <v>0</v>
      </c>
      <c r="H87" s="38">
        <f t="shared" si="61"/>
        <v>224.2</v>
      </c>
      <c r="I87" s="38">
        <v>0</v>
      </c>
      <c r="J87" s="18">
        <f>M87</f>
        <v>0</v>
      </c>
      <c r="K87" s="19"/>
      <c r="L87" s="19">
        <v>0</v>
      </c>
      <c r="M87" s="19">
        <v>0</v>
      </c>
      <c r="N87" s="19">
        <v>0</v>
      </c>
      <c r="O87" s="18">
        <f>SUM(P87:S87)</f>
        <v>0</v>
      </c>
      <c r="P87" s="19"/>
      <c r="Q87" s="19">
        <v>0</v>
      </c>
      <c r="R87" s="19">
        <v>0</v>
      </c>
      <c r="S87" s="19">
        <v>0</v>
      </c>
      <c r="T87" s="18">
        <f t="shared" ref="T87:T93" si="62">W87</f>
        <v>224.2</v>
      </c>
      <c r="U87" s="19"/>
      <c r="V87" s="19">
        <v>0</v>
      </c>
      <c r="W87" s="19">
        <v>224.2</v>
      </c>
      <c r="X87" s="19">
        <v>0</v>
      </c>
      <c r="Y87" s="18">
        <f>SUM(Z87:AC87)</f>
        <v>0</v>
      </c>
      <c r="Z87" s="19">
        <v>0</v>
      </c>
      <c r="AA87" s="19">
        <v>0</v>
      </c>
      <c r="AB87" s="19">
        <v>0</v>
      </c>
      <c r="AC87" s="19">
        <v>0</v>
      </c>
      <c r="AD87" s="18">
        <f>SUM(AE87:AH87)</f>
        <v>0</v>
      </c>
      <c r="AE87" s="19">
        <v>0</v>
      </c>
      <c r="AF87" s="19">
        <v>0</v>
      </c>
      <c r="AG87" s="19">
        <v>0</v>
      </c>
      <c r="AH87" s="19">
        <v>0</v>
      </c>
      <c r="AI87" s="18">
        <f>SUM(AJ87:AM87)</f>
        <v>0</v>
      </c>
      <c r="AJ87" s="19">
        <v>0</v>
      </c>
      <c r="AK87" s="19">
        <v>0</v>
      </c>
      <c r="AL87" s="19">
        <v>0</v>
      </c>
      <c r="AM87" s="19">
        <v>0</v>
      </c>
    </row>
    <row r="88" spans="1:39" s="2" customFormat="1" ht="51.75" customHeight="1" outlineLevel="2" x14ac:dyDescent="0.25">
      <c r="A88" s="8" t="s">
        <v>930</v>
      </c>
      <c r="B88" s="24" t="s">
        <v>931</v>
      </c>
      <c r="C88" s="26" t="s">
        <v>32</v>
      </c>
      <c r="D88" s="26" t="s">
        <v>118</v>
      </c>
      <c r="E88" s="20">
        <f t="shared" si="58"/>
        <v>160</v>
      </c>
      <c r="F88" s="20">
        <f t="shared" si="59"/>
        <v>0</v>
      </c>
      <c r="G88" s="38">
        <f t="shared" si="61"/>
        <v>0</v>
      </c>
      <c r="H88" s="38">
        <f t="shared" si="61"/>
        <v>160</v>
      </c>
      <c r="I88" s="38"/>
      <c r="J88" s="18"/>
      <c r="K88" s="19"/>
      <c r="L88" s="19"/>
      <c r="M88" s="19"/>
      <c r="N88" s="19"/>
      <c r="O88" s="18"/>
      <c r="P88" s="19"/>
      <c r="Q88" s="19"/>
      <c r="R88" s="19"/>
      <c r="S88" s="19"/>
      <c r="T88" s="18">
        <f t="shared" si="62"/>
        <v>160</v>
      </c>
      <c r="U88" s="19"/>
      <c r="V88" s="19"/>
      <c r="W88" s="19">
        <v>160</v>
      </c>
      <c r="X88" s="19"/>
      <c r="Y88" s="18"/>
      <c r="Z88" s="19"/>
      <c r="AA88" s="19"/>
      <c r="AB88" s="19"/>
      <c r="AC88" s="19"/>
      <c r="AD88" s="18"/>
      <c r="AE88" s="19"/>
      <c r="AF88" s="19"/>
      <c r="AG88" s="19"/>
      <c r="AH88" s="19"/>
      <c r="AI88" s="18"/>
      <c r="AJ88" s="19"/>
      <c r="AK88" s="19"/>
      <c r="AL88" s="19"/>
      <c r="AM88" s="19"/>
    </row>
    <row r="89" spans="1:39" s="2" customFormat="1" ht="51.75" customHeight="1" outlineLevel="2" x14ac:dyDescent="0.25">
      <c r="A89" s="8" t="s">
        <v>960</v>
      </c>
      <c r="B89" s="140" t="s">
        <v>961</v>
      </c>
      <c r="C89" s="26" t="s">
        <v>32</v>
      </c>
      <c r="D89" s="26" t="s">
        <v>118</v>
      </c>
      <c r="E89" s="20">
        <f t="shared" ref="E89" si="63">SUM(F89:I89)</f>
        <v>92.9</v>
      </c>
      <c r="F89" s="20">
        <f t="shared" ref="F89" si="64">K89</f>
        <v>0</v>
      </c>
      <c r="G89" s="38">
        <f t="shared" si="61"/>
        <v>0</v>
      </c>
      <c r="H89" s="38">
        <f t="shared" si="61"/>
        <v>92.9</v>
      </c>
      <c r="I89" s="38"/>
      <c r="J89" s="18"/>
      <c r="K89" s="19"/>
      <c r="L89" s="19"/>
      <c r="M89" s="19"/>
      <c r="N89" s="19"/>
      <c r="O89" s="18"/>
      <c r="P89" s="19"/>
      <c r="Q89" s="19"/>
      <c r="R89" s="19"/>
      <c r="S89" s="19"/>
      <c r="T89" s="18">
        <f t="shared" si="62"/>
        <v>92.9</v>
      </c>
      <c r="U89" s="19"/>
      <c r="V89" s="19"/>
      <c r="W89" s="19">
        <v>92.9</v>
      </c>
      <c r="X89" s="19"/>
      <c r="Y89" s="18"/>
      <c r="Z89" s="19"/>
      <c r="AA89" s="19"/>
      <c r="AB89" s="19"/>
      <c r="AC89" s="19"/>
      <c r="AD89" s="18"/>
      <c r="AE89" s="19"/>
      <c r="AF89" s="19"/>
      <c r="AG89" s="19"/>
      <c r="AH89" s="19"/>
      <c r="AI89" s="18"/>
      <c r="AJ89" s="19"/>
      <c r="AK89" s="19"/>
      <c r="AL89" s="19"/>
      <c r="AM89" s="19"/>
    </row>
    <row r="90" spans="1:39" s="2" customFormat="1" ht="51.75" customHeight="1" outlineLevel="2" x14ac:dyDescent="0.25">
      <c r="A90" s="8" t="s">
        <v>963</v>
      </c>
      <c r="B90" s="141" t="s">
        <v>962</v>
      </c>
      <c r="C90" s="26" t="s">
        <v>32</v>
      </c>
      <c r="D90" s="26" t="s">
        <v>118</v>
      </c>
      <c r="E90" s="20">
        <f t="shared" ref="E90" si="65">SUM(F90:I90)</f>
        <v>509.9</v>
      </c>
      <c r="F90" s="20">
        <f t="shared" ref="F90" si="66">K90</f>
        <v>0</v>
      </c>
      <c r="G90" s="38">
        <f t="shared" si="61"/>
        <v>0</v>
      </c>
      <c r="H90" s="38">
        <f t="shared" si="61"/>
        <v>509.9</v>
      </c>
      <c r="I90" s="38"/>
      <c r="J90" s="18"/>
      <c r="K90" s="19"/>
      <c r="L90" s="19"/>
      <c r="M90" s="19"/>
      <c r="N90" s="19"/>
      <c r="O90" s="18"/>
      <c r="P90" s="19"/>
      <c r="Q90" s="19"/>
      <c r="R90" s="19"/>
      <c r="S90" s="19"/>
      <c r="T90" s="18">
        <f t="shared" si="62"/>
        <v>509.9</v>
      </c>
      <c r="U90" s="19"/>
      <c r="V90" s="19"/>
      <c r="W90" s="19">
        <v>509.9</v>
      </c>
      <c r="X90" s="19"/>
      <c r="Y90" s="18"/>
      <c r="Z90" s="19"/>
      <c r="AA90" s="19"/>
      <c r="AB90" s="19"/>
      <c r="AC90" s="19"/>
      <c r="AD90" s="18"/>
      <c r="AE90" s="19"/>
      <c r="AF90" s="19"/>
      <c r="AG90" s="19"/>
      <c r="AH90" s="19"/>
      <c r="AI90" s="18"/>
      <c r="AJ90" s="19"/>
      <c r="AK90" s="19"/>
      <c r="AL90" s="19"/>
      <c r="AM90" s="19"/>
    </row>
    <row r="91" spans="1:39" s="2" customFormat="1" ht="81.75" customHeight="1" outlineLevel="2" x14ac:dyDescent="0.25">
      <c r="A91" s="8" t="s">
        <v>973</v>
      </c>
      <c r="B91" s="141" t="s">
        <v>977</v>
      </c>
      <c r="C91" s="26" t="s">
        <v>32</v>
      </c>
      <c r="D91" s="26" t="s">
        <v>118</v>
      </c>
      <c r="E91" s="20">
        <f t="shared" ref="E91" si="67">SUM(F91:I91)</f>
        <v>13.1</v>
      </c>
      <c r="F91" s="20">
        <f t="shared" ref="F91" si="68">K91</f>
        <v>0</v>
      </c>
      <c r="G91" s="38">
        <f t="shared" si="61"/>
        <v>0</v>
      </c>
      <c r="H91" s="38">
        <f t="shared" si="61"/>
        <v>13.1</v>
      </c>
      <c r="I91" s="38"/>
      <c r="J91" s="18"/>
      <c r="K91" s="19"/>
      <c r="L91" s="19"/>
      <c r="M91" s="19"/>
      <c r="N91" s="19"/>
      <c r="O91" s="18"/>
      <c r="P91" s="19"/>
      <c r="Q91" s="19"/>
      <c r="R91" s="19"/>
      <c r="S91" s="19"/>
      <c r="T91" s="18">
        <f t="shared" si="62"/>
        <v>13.1</v>
      </c>
      <c r="U91" s="19"/>
      <c r="V91" s="19"/>
      <c r="W91" s="19">
        <v>13.1</v>
      </c>
      <c r="X91" s="19"/>
      <c r="Y91" s="18"/>
      <c r="Z91" s="19"/>
      <c r="AA91" s="19"/>
      <c r="AB91" s="19"/>
      <c r="AC91" s="19"/>
      <c r="AD91" s="18"/>
      <c r="AE91" s="19"/>
      <c r="AF91" s="19"/>
      <c r="AG91" s="19"/>
      <c r="AH91" s="19"/>
      <c r="AI91" s="18"/>
      <c r="AJ91" s="19"/>
      <c r="AK91" s="19"/>
      <c r="AL91" s="19"/>
      <c r="AM91" s="19"/>
    </row>
    <row r="92" spans="1:39" s="2" customFormat="1" ht="70.5" customHeight="1" outlineLevel="2" x14ac:dyDescent="0.25">
      <c r="A92" s="8" t="s">
        <v>975</v>
      </c>
      <c r="B92" s="42" t="s">
        <v>974</v>
      </c>
      <c r="C92" s="25" t="s">
        <v>32</v>
      </c>
      <c r="D92" s="26" t="s">
        <v>118</v>
      </c>
      <c r="E92" s="20">
        <f t="shared" ref="E92" si="69">SUM(F92:I92)</f>
        <v>84</v>
      </c>
      <c r="F92" s="20">
        <f t="shared" ref="F92" si="70">K92</f>
        <v>0</v>
      </c>
      <c r="G92" s="38">
        <f t="shared" si="61"/>
        <v>0</v>
      </c>
      <c r="H92" s="38">
        <f t="shared" si="61"/>
        <v>84</v>
      </c>
      <c r="I92" s="38"/>
      <c r="J92" s="18"/>
      <c r="K92" s="19"/>
      <c r="L92" s="19"/>
      <c r="M92" s="19"/>
      <c r="N92" s="19"/>
      <c r="O92" s="18"/>
      <c r="P92" s="19"/>
      <c r="Q92" s="19"/>
      <c r="R92" s="19"/>
      <c r="S92" s="19"/>
      <c r="T92" s="18">
        <f t="shared" si="62"/>
        <v>84</v>
      </c>
      <c r="U92" s="19"/>
      <c r="V92" s="19"/>
      <c r="W92" s="19">
        <v>84</v>
      </c>
      <c r="X92" s="19"/>
      <c r="Y92" s="18"/>
      <c r="Z92" s="19"/>
      <c r="AA92" s="19"/>
      <c r="AB92" s="19"/>
      <c r="AC92" s="19"/>
      <c r="AD92" s="18"/>
      <c r="AE92" s="19"/>
      <c r="AF92" s="19"/>
      <c r="AG92" s="19"/>
      <c r="AH92" s="19"/>
      <c r="AI92" s="18"/>
      <c r="AJ92" s="19"/>
      <c r="AK92" s="19"/>
      <c r="AL92" s="19"/>
      <c r="AM92" s="19"/>
    </row>
    <row r="93" spans="1:39" s="2" customFormat="1" ht="51.75" customHeight="1" outlineLevel="2" x14ac:dyDescent="0.25">
      <c r="A93" s="8" t="s">
        <v>976</v>
      </c>
      <c r="B93" s="42" t="s">
        <v>978</v>
      </c>
      <c r="C93" s="25" t="s">
        <v>32</v>
      </c>
      <c r="D93" s="26" t="s">
        <v>118</v>
      </c>
      <c r="E93" s="20">
        <f t="shared" ref="E93" si="71">SUM(F93:I93)</f>
        <v>18.5</v>
      </c>
      <c r="F93" s="20">
        <f t="shared" ref="F93" si="72">K93</f>
        <v>0</v>
      </c>
      <c r="G93" s="38">
        <f t="shared" si="61"/>
        <v>0</v>
      </c>
      <c r="H93" s="38">
        <f t="shared" si="61"/>
        <v>18.5</v>
      </c>
      <c r="I93" s="38"/>
      <c r="J93" s="18"/>
      <c r="K93" s="19"/>
      <c r="L93" s="19"/>
      <c r="M93" s="19"/>
      <c r="N93" s="19"/>
      <c r="O93" s="18"/>
      <c r="P93" s="19"/>
      <c r="Q93" s="19"/>
      <c r="R93" s="19"/>
      <c r="S93" s="19"/>
      <c r="T93" s="18">
        <f t="shared" si="62"/>
        <v>18.5</v>
      </c>
      <c r="U93" s="19"/>
      <c r="V93" s="19"/>
      <c r="W93" s="19">
        <v>18.5</v>
      </c>
      <c r="X93" s="19"/>
      <c r="Y93" s="18"/>
      <c r="Z93" s="19"/>
      <c r="AA93" s="19"/>
      <c r="AB93" s="19"/>
      <c r="AC93" s="19"/>
      <c r="AD93" s="18"/>
      <c r="AE93" s="19"/>
      <c r="AF93" s="19"/>
      <c r="AG93" s="19"/>
      <c r="AH93" s="19"/>
      <c r="AI93" s="18"/>
      <c r="AJ93" s="19"/>
      <c r="AK93" s="19"/>
      <c r="AL93" s="19"/>
      <c r="AM93" s="19"/>
    </row>
    <row r="94" spans="1:39" s="2" customFormat="1" ht="38.25" customHeight="1" outlineLevel="1" x14ac:dyDescent="0.25">
      <c r="A94" s="138" t="s">
        <v>322</v>
      </c>
      <c r="B94" s="184" t="s">
        <v>946</v>
      </c>
      <c r="C94" s="184"/>
      <c r="D94" s="173"/>
      <c r="E94" s="20">
        <f>SUM(E95:E96)</f>
        <v>539.1</v>
      </c>
      <c r="F94" s="20">
        <f t="shared" ref="F94:AM94" si="73">SUM(F95:F96)</f>
        <v>0</v>
      </c>
      <c r="G94" s="20">
        <f t="shared" si="73"/>
        <v>0</v>
      </c>
      <c r="H94" s="20">
        <f t="shared" si="73"/>
        <v>539.1</v>
      </c>
      <c r="I94" s="20">
        <f t="shared" si="73"/>
        <v>0</v>
      </c>
      <c r="J94" s="20">
        <f t="shared" si="73"/>
        <v>139.10000000000002</v>
      </c>
      <c r="K94" s="20">
        <f t="shared" si="73"/>
        <v>0</v>
      </c>
      <c r="L94" s="20">
        <f t="shared" si="73"/>
        <v>0</v>
      </c>
      <c r="M94" s="20">
        <f t="shared" si="73"/>
        <v>139.10000000000002</v>
      </c>
      <c r="N94" s="20">
        <f t="shared" si="73"/>
        <v>0</v>
      </c>
      <c r="O94" s="20">
        <f t="shared" si="73"/>
        <v>0</v>
      </c>
      <c r="P94" s="20">
        <f t="shared" si="73"/>
        <v>0</v>
      </c>
      <c r="Q94" s="20">
        <f t="shared" si="73"/>
        <v>0</v>
      </c>
      <c r="R94" s="20">
        <f t="shared" si="73"/>
        <v>0</v>
      </c>
      <c r="S94" s="20">
        <f t="shared" si="73"/>
        <v>0</v>
      </c>
      <c r="T94" s="20">
        <f t="shared" si="73"/>
        <v>400</v>
      </c>
      <c r="U94" s="20">
        <f t="shared" si="73"/>
        <v>0</v>
      </c>
      <c r="V94" s="20">
        <f t="shared" si="73"/>
        <v>0</v>
      </c>
      <c r="W94" s="20">
        <f t="shared" si="73"/>
        <v>400</v>
      </c>
      <c r="X94" s="20">
        <f t="shared" si="73"/>
        <v>0</v>
      </c>
      <c r="Y94" s="20">
        <f t="shared" si="73"/>
        <v>0</v>
      </c>
      <c r="Z94" s="20">
        <f t="shared" si="73"/>
        <v>0</v>
      </c>
      <c r="AA94" s="20">
        <f t="shared" si="73"/>
        <v>0</v>
      </c>
      <c r="AB94" s="20">
        <f t="shared" si="73"/>
        <v>0</v>
      </c>
      <c r="AC94" s="20">
        <f t="shared" si="73"/>
        <v>0</v>
      </c>
      <c r="AD94" s="20">
        <f t="shared" si="73"/>
        <v>0</v>
      </c>
      <c r="AE94" s="20">
        <f t="shared" si="73"/>
        <v>0</v>
      </c>
      <c r="AF94" s="20">
        <f t="shared" si="73"/>
        <v>0</v>
      </c>
      <c r="AG94" s="20">
        <f t="shared" si="73"/>
        <v>0</v>
      </c>
      <c r="AH94" s="20">
        <f t="shared" si="73"/>
        <v>0</v>
      </c>
      <c r="AI94" s="20">
        <f t="shared" si="73"/>
        <v>0</v>
      </c>
      <c r="AJ94" s="20">
        <f t="shared" si="73"/>
        <v>0</v>
      </c>
      <c r="AK94" s="20">
        <f t="shared" si="73"/>
        <v>0</v>
      </c>
      <c r="AL94" s="20">
        <f t="shared" si="73"/>
        <v>0</v>
      </c>
      <c r="AM94" s="20">
        <f t="shared" si="73"/>
        <v>0</v>
      </c>
    </row>
    <row r="95" spans="1:39" s="2" customFormat="1" ht="141.75" outlineLevel="2" x14ac:dyDescent="0.25">
      <c r="A95" s="8" t="s">
        <v>323</v>
      </c>
      <c r="B95" s="25" t="s">
        <v>324</v>
      </c>
      <c r="C95" s="26" t="s">
        <v>32</v>
      </c>
      <c r="D95" s="26" t="s">
        <v>118</v>
      </c>
      <c r="E95" s="20">
        <f>SUM(F95:I95)</f>
        <v>139.10000000000002</v>
      </c>
      <c r="F95" s="20">
        <f>K95</f>
        <v>0</v>
      </c>
      <c r="G95" s="38">
        <f>L95+Q95+V95+AA95+AF95+AK95</f>
        <v>0</v>
      </c>
      <c r="H95" s="38">
        <f>M95+R95+W95+AB95+AG95+AL95</f>
        <v>139.10000000000002</v>
      </c>
      <c r="I95" s="38">
        <f>N95+S95+X95+AC95+AH95+AM95</f>
        <v>0</v>
      </c>
      <c r="J95" s="18">
        <f>SUM(K95:N95)</f>
        <v>139.10000000000002</v>
      </c>
      <c r="K95" s="19">
        <v>0</v>
      </c>
      <c r="L95" s="19">
        <v>0</v>
      </c>
      <c r="M95" s="19">
        <f>597.5-458.4</f>
        <v>139.10000000000002</v>
      </c>
      <c r="N95" s="19">
        <v>0</v>
      </c>
      <c r="O95" s="18">
        <f>SUM(P95:S95)</f>
        <v>0</v>
      </c>
      <c r="P95" s="19">
        <v>0</v>
      </c>
      <c r="Q95" s="19">
        <v>0</v>
      </c>
      <c r="R95" s="19">
        <v>0</v>
      </c>
      <c r="S95" s="19">
        <v>0</v>
      </c>
      <c r="T95" s="18">
        <f>SUM(U95:X95)</f>
        <v>0</v>
      </c>
      <c r="U95" s="19">
        <v>0</v>
      </c>
      <c r="V95" s="19">
        <v>0</v>
      </c>
      <c r="W95" s="19">
        <v>0</v>
      </c>
      <c r="X95" s="19">
        <v>0</v>
      </c>
      <c r="Y95" s="18">
        <f>SUM(Z95:AC95)</f>
        <v>0</v>
      </c>
      <c r="Z95" s="19">
        <v>0</v>
      </c>
      <c r="AA95" s="19">
        <v>0</v>
      </c>
      <c r="AB95" s="19">
        <v>0</v>
      </c>
      <c r="AC95" s="19">
        <v>0</v>
      </c>
      <c r="AD95" s="18">
        <f>SUM(AE95:AH95)</f>
        <v>0</v>
      </c>
      <c r="AE95" s="19">
        <v>0</v>
      </c>
      <c r="AF95" s="19">
        <v>0</v>
      </c>
      <c r="AG95" s="19">
        <v>0</v>
      </c>
      <c r="AH95" s="19">
        <v>0</v>
      </c>
      <c r="AI95" s="18">
        <f>SUM(AJ95:AM95)</f>
        <v>0</v>
      </c>
      <c r="AJ95" s="19">
        <v>0</v>
      </c>
      <c r="AK95" s="19">
        <v>0</v>
      </c>
      <c r="AL95" s="19">
        <v>0</v>
      </c>
      <c r="AM95" s="19">
        <v>0</v>
      </c>
    </row>
    <row r="96" spans="1:39" s="2" customFormat="1" ht="96" customHeight="1" outlineLevel="2" x14ac:dyDescent="0.25">
      <c r="A96" s="8" t="s">
        <v>945</v>
      </c>
      <c r="B96" s="119" t="s">
        <v>1025</v>
      </c>
      <c r="C96" s="26" t="s">
        <v>32</v>
      </c>
      <c r="D96" s="26" t="s">
        <v>118</v>
      </c>
      <c r="E96" s="20">
        <f>H96</f>
        <v>400</v>
      </c>
      <c r="F96" s="38"/>
      <c r="G96" s="38"/>
      <c r="H96" s="38">
        <f>M96+R96+W96+AB96+AG96+AL96</f>
        <v>400</v>
      </c>
      <c r="I96" s="38"/>
      <c r="J96" s="18"/>
      <c r="K96" s="19"/>
      <c r="L96" s="19"/>
      <c r="M96" s="19"/>
      <c r="N96" s="19"/>
      <c r="O96" s="18"/>
      <c r="P96" s="19"/>
      <c r="Q96" s="19"/>
      <c r="R96" s="19"/>
      <c r="S96" s="19"/>
      <c r="T96" s="18">
        <f>W96</f>
        <v>400</v>
      </c>
      <c r="U96" s="19"/>
      <c r="V96" s="19"/>
      <c r="W96" s="19">
        <v>400</v>
      </c>
      <c r="X96" s="19"/>
      <c r="Y96" s="18"/>
      <c r="Z96" s="19"/>
      <c r="AA96" s="19"/>
      <c r="AB96" s="19"/>
      <c r="AC96" s="19"/>
      <c r="AD96" s="18"/>
      <c r="AE96" s="19"/>
      <c r="AF96" s="19"/>
      <c r="AG96" s="19"/>
      <c r="AH96" s="19"/>
      <c r="AI96" s="18"/>
      <c r="AJ96" s="19"/>
      <c r="AK96" s="19"/>
      <c r="AL96" s="19"/>
      <c r="AM96" s="19"/>
    </row>
    <row r="97" spans="1:39" s="2" customFormat="1" ht="62.25" customHeight="1" outlineLevel="1" x14ac:dyDescent="0.25">
      <c r="A97" s="138" t="s">
        <v>373</v>
      </c>
      <c r="B97" s="184" t="s">
        <v>396</v>
      </c>
      <c r="C97" s="184"/>
      <c r="D97" s="173"/>
      <c r="E97" s="20">
        <f t="shared" ref="E97:AM97" si="74">SUM(E98:E103)</f>
        <v>634.6</v>
      </c>
      <c r="F97" s="20">
        <f t="shared" si="74"/>
        <v>0</v>
      </c>
      <c r="G97" s="20">
        <f t="shared" si="74"/>
        <v>0</v>
      </c>
      <c r="H97" s="20">
        <f t="shared" si="74"/>
        <v>634.6</v>
      </c>
      <c r="I97" s="20">
        <f t="shared" si="74"/>
        <v>0</v>
      </c>
      <c r="J97" s="20">
        <f t="shared" si="74"/>
        <v>484.6</v>
      </c>
      <c r="K97" s="20">
        <f t="shared" si="74"/>
        <v>0</v>
      </c>
      <c r="L97" s="20">
        <f t="shared" si="74"/>
        <v>0</v>
      </c>
      <c r="M97" s="20">
        <f t="shared" si="74"/>
        <v>484.6</v>
      </c>
      <c r="N97" s="20">
        <f t="shared" si="74"/>
        <v>0</v>
      </c>
      <c r="O97" s="20">
        <f t="shared" si="74"/>
        <v>150</v>
      </c>
      <c r="P97" s="20">
        <f t="shared" si="74"/>
        <v>0</v>
      </c>
      <c r="Q97" s="20">
        <f t="shared" si="74"/>
        <v>0</v>
      </c>
      <c r="R97" s="20">
        <f>SUM(R98:R103)</f>
        <v>150</v>
      </c>
      <c r="S97" s="20">
        <f t="shared" si="74"/>
        <v>0</v>
      </c>
      <c r="T97" s="20">
        <f t="shared" si="74"/>
        <v>0</v>
      </c>
      <c r="U97" s="20">
        <f t="shared" si="74"/>
        <v>0</v>
      </c>
      <c r="V97" s="20">
        <f t="shared" si="74"/>
        <v>0</v>
      </c>
      <c r="W97" s="20">
        <f t="shared" si="74"/>
        <v>0</v>
      </c>
      <c r="X97" s="20">
        <f t="shared" si="74"/>
        <v>0</v>
      </c>
      <c r="Y97" s="20">
        <f t="shared" si="74"/>
        <v>0</v>
      </c>
      <c r="Z97" s="20">
        <f t="shared" si="74"/>
        <v>0</v>
      </c>
      <c r="AA97" s="20">
        <f t="shared" si="74"/>
        <v>0</v>
      </c>
      <c r="AB97" s="20">
        <f t="shared" si="74"/>
        <v>0</v>
      </c>
      <c r="AC97" s="20">
        <f t="shared" si="74"/>
        <v>0</v>
      </c>
      <c r="AD97" s="20">
        <f t="shared" si="74"/>
        <v>0</v>
      </c>
      <c r="AE97" s="20">
        <f t="shared" si="74"/>
        <v>0</v>
      </c>
      <c r="AF97" s="20">
        <f t="shared" si="74"/>
        <v>0</v>
      </c>
      <c r="AG97" s="20">
        <f t="shared" si="74"/>
        <v>0</v>
      </c>
      <c r="AH97" s="20">
        <f t="shared" si="74"/>
        <v>0</v>
      </c>
      <c r="AI97" s="20">
        <f t="shared" si="74"/>
        <v>0</v>
      </c>
      <c r="AJ97" s="20">
        <f t="shared" si="74"/>
        <v>0</v>
      </c>
      <c r="AK97" s="20">
        <f t="shared" si="74"/>
        <v>0</v>
      </c>
      <c r="AL97" s="20">
        <f t="shared" si="74"/>
        <v>0</v>
      </c>
      <c r="AM97" s="20">
        <f t="shared" si="74"/>
        <v>0</v>
      </c>
    </row>
    <row r="98" spans="1:39" s="2" customFormat="1" ht="31.5" outlineLevel="2" x14ac:dyDescent="0.25">
      <c r="A98" s="8" t="s">
        <v>374</v>
      </c>
      <c r="B98" s="25" t="s">
        <v>66</v>
      </c>
      <c r="C98" s="26" t="s">
        <v>32</v>
      </c>
      <c r="D98" s="26" t="s">
        <v>118</v>
      </c>
      <c r="E98" s="20">
        <f>SUM(F98:I98)</f>
        <v>356.1</v>
      </c>
      <c r="F98" s="20">
        <f>K98</f>
        <v>0</v>
      </c>
      <c r="G98" s="38">
        <f t="shared" ref="G98:I103" si="75">L98+Q98+V98+AA98+AF98+AK98</f>
        <v>0</v>
      </c>
      <c r="H98" s="38">
        <f t="shared" si="75"/>
        <v>356.1</v>
      </c>
      <c r="I98" s="38">
        <f t="shared" si="75"/>
        <v>0</v>
      </c>
      <c r="J98" s="18">
        <f t="shared" ref="J98:J103" si="76">SUM(K98:N98)</f>
        <v>346.1</v>
      </c>
      <c r="K98" s="19">
        <v>0</v>
      </c>
      <c r="L98" s="20">
        <v>0</v>
      </c>
      <c r="M98" s="19">
        <v>346.1</v>
      </c>
      <c r="N98" s="20">
        <v>0</v>
      </c>
      <c r="O98" s="18">
        <f t="shared" ref="O98:O103" si="77">SUM(P98:S98)</f>
        <v>10</v>
      </c>
      <c r="P98" s="19">
        <v>0</v>
      </c>
      <c r="Q98" s="20">
        <v>0</v>
      </c>
      <c r="R98" s="19">
        <v>10</v>
      </c>
      <c r="S98" s="20">
        <v>0</v>
      </c>
      <c r="T98" s="18">
        <f t="shared" ref="T98:T103" si="78">SUM(U98:X98)</f>
        <v>0</v>
      </c>
      <c r="U98" s="20">
        <f t="shared" ref="U98:U103" si="79">Z98</f>
        <v>0</v>
      </c>
      <c r="V98" s="19">
        <v>0</v>
      </c>
      <c r="W98" s="19">
        <v>0</v>
      </c>
      <c r="X98" s="19">
        <v>0</v>
      </c>
      <c r="Y98" s="18">
        <f t="shared" ref="Y98:Y103" si="80">SUM(Z98:AC98)</f>
        <v>0</v>
      </c>
      <c r="Z98" s="20">
        <f t="shared" ref="Z98:Z103" si="81">AE98</f>
        <v>0</v>
      </c>
      <c r="AA98" s="19">
        <v>0</v>
      </c>
      <c r="AB98" s="19">
        <v>0</v>
      </c>
      <c r="AC98" s="19">
        <v>0</v>
      </c>
      <c r="AD98" s="18">
        <f t="shared" ref="AD98:AD103" si="82">SUM(AE98:AH98)</f>
        <v>0</v>
      </c>
      <c r="AE98" s="20">
        <f t="shared" ref="AE98:AE103" si="83">AJ98</f>
        <v>0</v>
      </c>
      <c r="AF98" s="19">
        <v>0</v>
      </c>
      <c r="AG98" s="19">
        <v>0</v>
      </c>
      <c r="AH98" s="19">
        <v>0</v>
      </c>
      <c r="AI98" s="18">
        <f t="shared" ref="AI98:AI103" si="84">SUM(AJ98:AM98)</f>
        <v>0</v>
      </c>
      <c r="AJ98" s="20">
        <f t="shared" ref="AJ98:AJ103" si="85">AO98</f>
        <v>0</v>
      </c>
      <c r="AK98" s="19">
        <v>0</v>
      </c>
      <c r="AL98" s="19">
        <v>0</v>
      </c>
      <c r="AM98" s="19">
        <v>0</v>
      </c>
    </row>
    <row r="99" spans="1:39" s="2" customFormat="1" ht="31.5" outlineLevel="2" x14ac:dyDescent="0.25">
      <c r="A99" s="8" t="s">
        <v>375</v>
      </c>
      <c r="B99" s="25" t="s">
        <v>65</v>
      </c>
      <c r="C99" s="26" t="s">
        <v>32</v>
      </c>
      <c r="D99" s="26" t="s">
        <v>118</v>
      </c>
      <c r="E99" s="20">
        <f>SUM(F99:I99)</f>
        <v>148.5</v>
      </c>
      <c r="F99" s="20">
        <f>K99</f>
        <v>0</v>
      </c>
      <c r="G99" s="38">
        <f t="shared" si="75"/>
        <v>0</v>
      </c>
      <c r="H99" s="38">
        <f t="shared" si="75"/>
        <v>148.5</v>
      </c>
      <c r="I99" s="38">
        <f t="shared" si="75"/>
        <v>0</v>
      </c>
      <c r="J99" s="18">
        <f t="shared" si="76"/>
        <v>138.5</v>
      </c>
      <c r="K99" s="19">
        <v>0</v>
      </c>
      <c r="L99" s="20">
        <v>0</v>
      </c>
      <c r="M99" s="19">
        <v>138.5</v>
      </c>
      <c r="N99" s="20">
        <v>0</v>
      </c>
      <c r="O99" s="18">
        <f t="shared" si="77"/>
        <v>10</v>
      </c>
      <c r="P99" s="19">
        <v>0</v>
      </c>
      <c r="Q99" s="20">
        <v>0</v>
      </c>
      <c r="R99" s="19">
        <v>10</v>
      </c>
      <c r="S99" s="20">
        <v>0</v>
      </c>
      <c r="T99" s="18">
        <f t="shared" si="78"/>
        <v>0</v>
      </c>
      <c r="U99" s="20">
        <f t="shared" si="79"/>
        <v>0</v>
      </c>
      <c r="V99" s="19">
        <v>0</v>
      </c>
      <c r="W99" s="19">
        <v>0</v>
      </c>
      <c r="X99" s="19">
        <v>0</v>
      </c>
      <c r="Y99" s="18">
        <f t="shared" si="80"/>
        <v>0</v>
      </c>
      <c r="Z99" s="20">
        <f t="shared" si="81"/>
        <v>0</v>
      </c>
      <c r="AA99" s="19">
        <v>0</v>
      </c>
      <c r="AB99" s="19">
        <v>0</v>
      </c>
      <c r="AC99" s="19">
        <v>0</v>
      </c>
      <c r="AD99" s="18">
        <f t="shared" si="82"/>
        <v>0</v>
      </c>
      <c r="AE99" s="20">
        <f t="shared" si="83"/>
        <v>0</v>
      </c>
      <c r="AF99" s="19">
        <v>0</v>
      </c>
      <c r="AG99" s="19">
        <v>0</v>
      </c>
      <c r="AH99" s="19">
        <v>0</v>
      </c>
      <c r="AI99" s="18">
        <f t="shared" si="84"/>
        <v>0</v>
      </c>
      <c r="AJ99" s="20">
        <f t="shared" si="85"/>
        <v>0</v>
      </c>
      <c r="AK99" s="19">
        <v>0</v>
      </c>
      <c r="AL99" s="19">
        <v>0</v>
      </c>
      <c r="AM99" s="19">
        <v>0</v>
      </c>
    </row>
    <row r="100" spans="1:39" s="2" customFormat="1" ht="31.5" outlineLevel="2" x14ac:dyDescent="0.25">
      <c r="A100" s="8" t="s">
        <v>406</v>
      </c>
      <c r="B100" s="44" t="s">
        <v>54</v>
      </c>
      <c r="C100" s="26" t="s">
        <v>32</v>
      </c>
      <c r="D100" s="26" t="s">
        <v>118</v>
      </c>
      <c r="E100" s="20">
        <f>H100</f>
        <v>100</v>
      </c>
      <c r="F100" s="38">
        <f>K100+P100+U100+Z100+AE100+AJ100</f>
        <v>0</v>
      </c>
      <c r="G100" s="38">
        <f t="shared" si="75"/>
        <v>0</v>
      </c>
      <c r="H100" s="38">
        <f t="shared" si="75"/>
        <v>100</v>
      </c>
      <c r="I100" s="38">
        <f t="shared" si="75"/>
        <v>0</v>
      </c>
      <c r="J100" s="18">
        <f t="shared" si="76"/>
        <v>0</v>
      </c>
      <c r="K100" s="19">
        <v>0</v>
      </c>
      <c r="L100" s="20">
        <v>0</v>
      </c>
      <c r="M100" s="20">
        <v>0</v>
      </c>
      <c r="N100" s="20">
        <v>0</v>
      </c>
      <c r="O100" s="18">
        <f t="shared" si="77"/>
        <v>100</v>
      </c>
      <c r="P100" s="19">
        <v>0</v>
      </c>
      <c r="Q100" s="20">
        <v>0</v>
      </c>
      <c r="R100" s="19">
        <f>165.6-145.6+80</f>
        <v>100</v>
      </c>
      <c r="S100" s="20">
        <v>0</v>
      </c>
      <c r="T100" s="18">
        <f t="shared" si="78"/>
        <v>0</v>
      </c>
      <c r="U100" s="20">
        <f t="shared" si="79"/>
        <v>0</v>
      </c>
      <c r="V100" s="19">
        <v>0</v>
      </c>
      <c r="W100" s="19">
        <v>0</v>
      </c>
      <c r="X100" s="19">
        <v>0</v>
      </c>
      <c r="Y100" s="18">
        <f t="shared" si="80"/>
        <v>0</v>
      </c>
      <c r="Z100" s="20">
        <f t="shared" si="81"/>
        <v>0</v>
      </c>
      <c r="AA100" s="19">
        <v>0</v>
      </c>
      <c r="AB100" s="19">
        <v>0</v>
      </c>
      <c r="AC100" s="19">
        <v>0</v>
      </c>
      <c r="AD100" s="18">
        <f t="shared" si="82"/>
        <v>0</v>
      </c>
      <c r="AE100" s="20">
        <f t="shared" si="83"/>
        <v>0</v>
      </c>
      <c r="AF100" s="19">
        <v>0</v>
      </c>
      <c r="AG100" s="19">
        <v>0</v>
      </c>
      <c r="AH100" s="19">
        <v>0</v>
      </c>
      <c r="AI100" s="18">
        <f t="shared" si="84"/>
        <v>0</v>
      </c>
      <c r="AJ100" s="20">
        <f t="shared" si="85"/>
        <v>0</v>
      </c>
      <c r="AK100" s="19">
        <v>0</v>
      </c>
      <c r="AL100" s="19">
        <v>0</v>
      </c>
      <c r="AM100" s="19">
        <v>0</v>
      </c>
    </row>
    <row r="101" spans="1:39" s="2" customFormat="1" ht="31.5" outlineLevel="2" x14ac:dyDescent="0.25">
      <c r="A101" s="8" t="s">
        <v>407</v>
      </c>
      <c r="B101" s="44" t="s">
        <v>61</v>
      </c>
      <c r="C101" s="26" t="s">
        <v>32</v>
      </c>
      <c r="D101" s="26" t="s">
        <v>118</v>
      </c>
      <c r="E101" s="20">
        <f>H101</f>
        <v>10.000000000000004</v>
      </c>
      <c r="F101" s="38">
        <f>K101+P101+U101+Z101+AE101+AJ101</f>
        <v>0</v>
      </c>
      <c r="G101" s="38">
        <f t="shared" si="75"/>
        <v>0</v>
      </c>
      <c r="H101" s="38">
        <f t="shared" si="75"/>
        <v>10.000000000000004</v>
      </c>
      <c r="I101" s="38">
        <f t="shared" si="75"/>
        <v>0</v>
      </c>
      <c r="J101" s="18">
        <f t="shared" si="76"/>
        <v>0</v>
      </c>
      <c r="K101" s="19">
        <v>0</v>
      </c>
      <c r="L101" s="20">
        <v>0</v>
      </c>
      <c r="M101" s="20">
        <v>0</v>
      </c>
      <c r="N101" s="20">
        <v>0</v>
      </c>
      <c r="O101" s="18">
        <f t="shared" si="77"/>
        <v>10.000000000000004</v>
      </c>
      <c r="P101" s="19">
        <v>0</v>
      </c>
      <c r="Q101" s="20">
        <v>0</v>
      </c>
      <c r="R101" s="19">
        <f>33.2-23.2</f>
        <v>10.000000000000004</v>
      </c>
      <c r="S101" s="20">
        <v>0</v>
      </c>
      <c r="T101" s="18">
        <f t="shared" si="78"/>
        <v>0</v>
      </c>
      <c r="U101" s="20">
        <f t="shared" si="79"/>
        <v>0</v>
      </c>
      <c r="V101" s="19">
        <v>0</v>
      </c>
      <c r="W101" s="19">
        <v>0</v>
      </c>
      <c r="X101" s="19">
        <v>0</v>
      </c>
      <c r="Y101" s="18">
        <f t="shared" si="80"/>
        <v>0</v>
      </c>
      <c r="Z101" s="20">
        <f t="shared" si="81"/>
        <v>0</v>
      </c>
      <c r="AA101" s="19">
        <v>0</v>
      </c>
      <c r="AB101" s="19">
        <v>0</v>
      </c>
      <c r="AC101" s="19">
        <v>0</v>
      </c>
      <c r="AD101" s="18">
        <f t="shared" si="82"/>
        <v>0</v>
      </c>
      <c r="AE101" s="20">
        <f t="shared" si="83"/>
        <v>0</v>
      </c>
      <c r="AF101" s="19">
        <v>0</v>
      </c>
      <c r="AG101" s="19">
        <v>0</v>
      </c>
      <c r="AH101" s="19">
        <v>0</v>
      </c>
      <c r="AI101" s="18">
        <f t="shared" si="84"/>
        <v>0</v>
      </c>
      <c r="AJ101" s="20">
        <f t="shared" si="85"/>
        <v>0</v>
      </c>
      <c r="AK101" s="19">
        <v>0</v>
      </c>
      <c r="AL101" s="19">
        <v>0</v>
      </c>
      <c r="AM101" s="19">
        <v>0</v>
      </c>
    </row>
    <row r="102" spans="1:39" s="2" customFormat="1" ht="31.5" outlineLevel="2" x14ac:dyDescent="0.25">
      <c r="A102" s="8" t="s">
        <v>408</v>
      </c>
      <c r="B102" s="44" t="s">
        <v>52</v>
      </c>
      <c r="C102" s="26" t="s">
        <v>32</v>
      </c>
      <c r="D102" s="26" t="s">
        <v>118</v>
      </c>
      <c r="E102" s="20">
        <f>H102</f>
        <v>10</v>
      </c>
      <c r="F102" s="38">
        <f>K102+P102+U102+Z102+AE102+AJ102</f>
        <v>0</v>
      </c>
      <c r="G102" s="38">
        <f t="shared" si="75"/>
        <v>0</v>
      </c>
      <c r="H102" s="38">
        <f t="shared" si="75"/>
        <v>10</v>
      </c>
      <c r="I102" s="38">
        <f t="shared" si="75"/>
        <v>0</v>
      </c>
      <c r="J102" s="18">
        <f t="shared" si="76"/>
        <v>0</v>
      </c>
      <c r="K102" s="19">
        <v>0</v>
      </c>
      <c r="L102" s="20">
        <v>0</v>
      </c>
      <c r="M102" s="20">
        <v>0</v>
      </c>
      <c r="N102" s="20">
        <f>S102</f>
        <v>0</v>
      </c>
      <c r="O102" s="18">
        <f t="shared" si="77"/>
        <v>10</v>
      </c>
      <c r="P102" s="19">
        <v>0</v>
      </c>
      <c r="Q102" s="20">
        <v>0</v>
      </c>
      <c r="R102" s="19">
        <f>283.1-273.1</f>
        <v>10</v>
      </c>
      <c r="S102" s="20">
        <v>0</v>
      </c>
      <c r="T102" s="18">
        <f t="shared" si="78"/>
        <v>0</v>
      </c>
      <c r="U102" s="20">
        <f t="shared" si="79"/>
        <v>0</v>
      </c>
      <c r="V102" s="19">
        <v>0</v>
      </c>
      <c r="W102" s="19">
        <v>0</v>
      </c>
      <c r="X102" s="19">
        <v>0</v>
      </c>
      <c r="Y102" s="18">
        <f t="shared" si="80"/>
        <v>0</v>
      </c>
      <c r="Z102" s="20">
        <f t="shared" si="81"/>
        <v>0</v>
      </c>
      <c r="AA102" s="19">
        <v>0</v>
      </c>
      <c r="AB102" s="19">
        <v>0</v>
      </c>
      <c r="AC102" s="19">
        <v>0</v>
      </c>
      <c r="AD102" s="18">
        <f t="shared" si="82"/>
        <v>0</v>
      </c>
      <c r="AE102" s="20">
        <f t="shared" si="83"/>
        <v>0</v>
      </c>
      <c r="AF102" s="19">
        <v>0</v>
      </c>
      <c r="AG102" s="19">
        <v>0</v>
      </c>
      <c r="AH102" s="19">
        <v>0</v>
      </c>
      <c r="AI102" s="18">
        <f t="shared" si="84"/>
        <v>0</v>
      </c>
      <c r="AJ102" s="20">
        <f t="shared" si="85"/>
        <v>0</v>
      </c>
      <c r="AK102" s="19">
        <v>0</v>
      </c>
      <c r="AL102" s="19">
        <v>0</v>
      </c>
      <c r="AM102" s="19">
        <v>0</v>
      </c>
    </row>
    <row r="103" spans="1:39" s="2" customFormat="1" ht="31.5" outlineLevel="2" x14ac:dyDescent="0.25">
      <c r="A103" s="8" t="s">
        <v>486</v>
      </c>
      <c r="B103" s="44" t="s">
        <v>49</v>
      </c>
      <c r="C103" s="26" t="s">
        <v>32</v>
      </c>
      <c r="D103" s="26" t="s">
        <v>118</v>
      </c>
      <c r="E103" s="20">
        <f>H103</f>
        <v>10</v>
      </c>
      <c r="F103" s="38">
        <f>K103+P103+U103+Z103+AE103+AJ103</f>
        <v>0</v>
      </c>
      <c r="G103" s="38">
        <f t="shared" si="75"/>
        <v>0</v>
      </c>
      <c r="H103" s="38">
        <f t="shared" si="75"/>
        <v>10</v>
      </c>
      <c r="I103" s="38">
        <f t="shared" si="75"/>
        <v>0</v>
      </c>
      <c r="J103" s="18">
        <f t="shared" si="76"/>
        <v>0</v>
      </c>
      <c r="K103" s="19">
        <v>0</v>
      </c>
      <c r="L103" s="20">
        <v>0</v>
      </c>
      <c r="M103" s="20">
        <v>0</v>
      </c>
      <c r="N103" s="20">
        <f>S103</f>
        <v>0</v>
      </c>
      <c r="O103" s="18">
        <f t="shared" si="77"/>
        <v>10</v>
      </c>
      <c r="P103" s="19">
        <v>0</v>
      </c>
      <c r="Q103" s="20">
        <v>0</v>
      </c>
      <c r="R103" s="19">
        <v>10</v>
      </c>
      <c r="S103" s="20">
        <v>0</v>
      </c>
      <c r="T103" s="18">
        <f t="shared" si="78"/>
        <v>0</v>
      </c>
      <c r="U103" s="20">
        <f t="shared" si="79"/>
        <v>0</v>
      </c>
      <c r="V103" s="19">
        <v>0</v>
      </c>
      <c r="W103" s="19">
        <v>0</v>
      </c>
      <c r="X103" s="19">
        <v>0</v>
      </c>
      <c r="Y103" s="18">
        <f t="shared" si="80"/>
        <v>0</v>
      </c>
      <c r="Z103" s="20">
        <f t="shared" si="81"/>
        <v>0</v>
      </c>
      <c r="AA103" s="19">
        <v>0</v>
      </c>
      <c r="AB103" s="19">
        <v>0</v>
      </c>
      <c r="AC103" s="19">
        <v>0</v>
      </c>
      <c r="AD103" s="18">
        <f t="shared" si="82"/>
        <v>0</v>
      </c>
      <c r="AE103" s="20">
        <f t="shared" si="83"/>
        <v>0</v>
      </c>
      <c r="AF103" s="19">
        <v>0</v>
      </c>
      <c r="AG103" s="19">
        <v>0</v>
      </c>
      <c r="AH103" s="19">
        <v>0</v>
      </c>
      <c r="AI103" s="18">
        <f t="shared" si="84"/>
        <v>0</v>
      </c>
      <c r="AJ103" s="20">
        <f t="shared" si="85"/>
        <v>0</v>
      </c>
      <c r="AK103" s="19">
        <v>0</v>
      </c>
      <c r="AL103" s="19">
        <v>0</v>
      </c>
      <c r="AM103" s="19">
        <v>0</v>
      </c>
    </row>
    <row r="104" spans="1:39" s="2" customFormat="1" ht="51" customHeight="1" outlineLevel="1" x14ac:dyDescent="0.25">
      <c r="A104" s="138" t="s">
        <v>386</v>
      </c>
      <c r="B104" s="184" t="s">
        <v>885</v>
      </c>
      <c r="C104" s="184"/>
      <c r="D104" s="173"/>
      <c r="E104" s="20">
        <f>SUM(E105:F111)</f>
        <v>1569.3999999999999</v>
      </c>
      <c r="F104" s="20">
        <f t="shared" ref="F104:X104" si="86">SUM(F105:F110)</f>
        <v>0</v>
      </c>
      <c r="G104" s="20">
        <f t="shared" si="86"/>
        <v>0</v>
      </c>
      <c r="H104" s="20">
        <f>SUM(H105:H111)</f>
        <v>1569.3999999999999</v>
      </c>
      <c r="I104" s="20">
        <f t="shared" si="86"/>
        <v>0</v>
      </c>
      <c r="J104" s="20">
        <f t="shared" si="86"/>
        <v>248.7</v>
      </c>
      <c r="K104" s="20">
        <f t="shared" si="86"/>
        <v>0</v>
      </c>
      <c r="L104" s="20">
        <f t="shared" si="86"/>
        <v>0</v>
      </c>
      <c r="M104" s="20">
        <f t="shared" si="86"/>
        <v>248.7</v>
      </c>
      <c r="N104" s="20">
        <f t="shared" si="86"/>
        <v>0</v>
      </c>
      <c r="O104" s="20">
        <f t="shared" si="86"/>
        <v>836.40000000000009</v>
      </c>
      <c r="P104" s="20">
        <f t="shared" si="86"/>
        <v>0</v>
      </c>
      <c r="Q104" s="20">
        <f t="shared" si="86"/>
        <v>0</v>
      </c>
      <c r="R104" s="20">
        <f t="shared" si="86"/>
        <v>836.40000000000009</v>
      </c>
      <c r="S104" s="20">
        <f t="shared" si="86"/>
        <v>0</v>
      </c>
      <c r="T104" s="20">
        <f>SUM(T105:T111)</f>
        <v>484.3</v>
      </c>
      <c r="U104" s="20">
        <f t="shared" si="86"/>
        <v>0</v>
      </c>
      <c r="V104" s="20">
        <f t="shared" si="86"/>
        <v>0</v>
      </c>
      <c r="W104" s="20">
        <f>SUM(W105:W111)</f>
        <v>484.3</v>
      </c>
      <c r="X104" s="20">
        <f t="shared" si="86"/>
        <v>0</v>
      </c>
      <c r="Y104" s="20">
        <f t="shared" ref="Y104:AM104" si="87">SUM(Y105:Y109)</f>
        <v>0</v>
      </c>
      <c r="Z104" s="20">
        <f t="shared" si="87"/>
        <v>0</v>
      </c>
      <c r="AA104" s="20">
        <f t="shared" si="87"/>
        <v>0</v>
      </c>
      <c r="AB104" s="20">
        <f t="shared" si="87"/>
        <v>0</v>
      </c>
      <c r="AC104" s="20">
        <f t="shared" si="87"/>
        <v>0</v>
      </c>
      <c r="AD104" s="20">
        <f t="shared" si="87"/>
        <v>0</v>
      </c>
      <c r="AE104" s="20">
        <f t="shared" si="87"/>
        <v>0</v>
      </c>
      <c r="AF104" s="20">
        <f t="shared" si="87"/>
        <v>0</v>
      </c>
      <c r="AG104" s="20">
        <f t="shared" si="87"/>
        <v>0</v>
      </c>
      <c r="AH104" s="20">
        <f t="shared" si="87"/>
        <v>0</v>
      </c>
      <c r="AI104" s="20">
        <f t="shared" si="87"/>
        <v>0</v>
      </c>
      <c r="AJ104" s="20">
        <f t="shared" si="87"/>
        <v>0</v>
      </c>
      <c r="AK104" s="20">
        <f t="shared" si="87"/>
        <v>0</v>
      </c>
      <c r="AL104" s="20">
        <f t="shared" si="87"/>
        <v>0</v>
      </c>
      <c r="AM104" s="20">
        <f t="shared" si="87"/>
        <v>0</v>
      </c>
    </row>
    <row r="105" spans="1:39" s="2" customFormat="1" ht="78.75" outlineLevel="2" x14ac:dyDescent="0.25">
      <c r="A105" s="8" t="s">
        <v>388</v>
      </c>
      <c r="B105" s="25" t="s">
        <v>387</v>
      </c>
      <c r="C105" s="26" t="s">
        <v>32</v>
      </c>
      <c r="D105" s="26" t="s">
        <v>118</v>
      </c>
      <c r="E105" s="20">
        <f t="shared" ref="E105:E110" si="88">SUM(F105:I105)</f>
        <v>60.2</v>
      </c>
      <c r="F105" s="20">
        <f>K105</f>
        <v>0</v>
      </c>
      <c r="G105" s="38">
        <f t="shared" ref="G105:I109" si="89">L105+Q105+V105+AA105+AF105+AK105</f>
        <v>0</v>
      </c>
      <c r="H105" s="38">
        <f t="shared" si="89"/>
        <v>60.2</v>
      </c>
      <c r="I105" s="38">
        <f t="shared" si="89"/>
        <v>0</v>
      </c>
      <c r="J105" s="18">
        <f>SUM(K105:N105)</f>
        <v>60.2</v>
      </c>
      <c r="K105" s="19">
        <v>0</v>
      </c>
      <c r="L105" s="19">
        <v>0</v>
      </c>
      <c r="M105" s="19">
        <v>60.2</v>
      </c>
      <c r="N105" s="19">
        <v>0</v>
      </c>
      <c r="O105" s="18">
        <f>SUM(P105:S105)</f>
        <v>0</v>
      </c>
      <c r="P105" s="19">
        <v>0</v>
      </c>
      <c r="Q105" s="19">
        <v>0</v>
      </c>
      <c r="R105" s="19">
        <v>0</v>
      </c>
      <c r="S105" s="19">
        <v>0</v>
      </c>
      <c r="T105" s="18">
        <f>SUM(U105:X105)</f>
        <v>0</v>
      </c>
      <c r="U105" s="19">
        <v>0</v>
      </c>
      <c r="V105" s="19">
        <v>0</v>
      </c>
      <c r="W105" s="19">
        <v>0</v>
      </c>
      <c r="X105" s="19">
        <v>0</v>
      </c>
      <c r="Y105" s="18">
        <f>SUM(Z105:AC105)</f>
        <v>0</v>
      </c>
      <c r="Z105" s="19">
        <v>0</v>
      </c>
      <c r="AA105" s="19">
        <v>0</v>
      </c>
      <c r="AB105" s="19">
        <v>0</v>
      </c>
      <c r="AC105" s="19">
        <v>0</v>
      </c>
      <c r="AD105" s="18">
        <f>SUM(AE105:AH105)</f>
        <v>0</v>
      </c>
      <c r="AE105" s="19">
        <v>0</v>
      </c>
      <c r="AF105" s="19">
        <v>0</v>
      </c>
      <c r="AG105" s="19">
        <v>0</v>
      </c>
      <c r="AH105" s="19">
        <v>0</v>
      </c>
      <c r="AI105" s="18">
        <f>SUM(AJ105:AM105)</f>
        <v>0</v>
      </c>
      <c r="AJ105" s="19">
        <v>0</v>
      </c>
      <c r="AK105" s="19">
        <v>0</v>
      </c>
      <c r="AL105" s="19">
        <v>0</v>
      </c>
      <c r="AM105" s="19">
        <v>0</v>
      </c>
    </row>
    <row r="106" spans="1:39" s="2" customFormat="1" ht="63" outlineLevel="2" x14ac:dyDescent="0.25">
      <c r="A106" s="8" t="s">
        <v>409</v>
      </c>
      <c r="B106" s="25" t="s">
        <v>389</v>
      </c>
      <c r="C106" s="26" t="s">
        <v>32</v>
      </c>
      <c r="D106" s="26" t="s">
        <v>118</v>
      </c>
      <c r="E106" s="20">
        <f t="shared" si="88"/>
        <v>188.5</v>
      </c>
      <c r="F106" s="20">
        <f>K106</f>
        <v>0</v>
      </c>
      <c r="G106" s="38">
        <f t="shared" si="89"/>
        <v>0</v>
      </c>
      <c r="H106" s="38">
        <f t="shared" si="89"/>
        <v>188.5</v>
      </c>
      <c r="I106" s="38">
        <f t="shared" si="89"/>
        <v>0</v>
      </c>
      <c r="J106" s="18">
        <f>SUM(K106:N106)</f>
        <v>188.5</v>
      </c>
      <c r="K106" s="19">
        <v>0</v>
      </c>
      <c r="L106" s="19">
        <v>0</v>
      </c>
      <c r="M106" s="19">
        <v>188.5</v>
      </c>
      <c r="N106" s="19">
        <v>0</v>
      </c>
      <c r="O106" s="18">
        <f>SUM(P106:S106)</f>
        <v>0</v>
      </c>
      <c r="P106" s="19">
        <v>0</v>
      </c>
      <c r="Q106" s="19">
        <v>0</v>
      </c>
      <c r="R106" s="19">
        <v>0</v>
      </c>
      <c r="S106" s="19">
        <v>0</v>
      </c>
      <c r="T106" s="18">
        <f>SUM(U106:X106)</f>
        <v>0</v>
      </c>
      <c r="U106" s="19">
        <v>0</v>
      </c>
      <c r="V106" s="19">
        <v>0</v>
      </c>
      <c r="W106" s="19">
        <v>0</v>
      </c>
      <c r="X106" s="19">
        <v>0</v>
      </c>
      <c r="Y106" s="18">
        <f>SUM(Z106:AC106)</f>
        <v>0</v>
      </c>
      <c r="Z106" s="19">
        <v>0</v>
      </c>
      <c r="AA106" s="19">
        <v>0</v>
      </c>
      <c r="AB106" s="19">
        <v>0</v>
      </c>
      <c r="AC106" s="19">
        <v>0</v>
      </c>
      <c r="AD106" s="18">
        <f>SUM(AE106:AH106)</f>
        <v>0</v>
      </c>
      <c r="AE106" s="19">
        <v>0</v>
      </c>
      <c r="AF106" s="19">
        <v>0</v>
      </c>
      <c r="AG106" s="19">
        <v>0</v>
      </c>
      <c r="AH106" s="19">
        <v>0</v>
      </c>
      <c r="AI106" s="18">
        <f>SUM(AJ106:AM106)</f>
        <v>0</v>
      </c>
      <c r="AJ106" s="19">
        <v>0</v>
      </c>
      <c r="AK106" s="19">
        <v>0</v>
      </c>
      <c r="AL106" s="19">
        <v>0</v>
      </c>
      <c r="AM106" s="19">
        <v>0</v>
      </c>
    </row>
    <row r="107" spans="1:39" s="2" customFormat="1" ht="63" outlineLevel="2" x14ac:dyDescent="0.25">
      <c r="A107" s="8" t="s">
        <v>410</v>
      </c>
      <c r="B107" s="43" t="s">
        <v>411</v>
      </c>
      <c r="C107" s="26" t="s">
        <v>32</v>
      </c>
      <c r="D107" s="26" t="s">
        <v>118</v>
      </c>
      <c r="E107" s="20">
        <f t="shared" si="88"/>
        <v>407.1</v>
      </c>
      <c r="F107" s="38">
        <f>K107+P107+U107+Z107+AE107+AJ107</f>
        <v>0</v>
      </c>
      <c r="G107" s="38">
        <f t="shared" si="89"/>
        <v>0</v>
      </c>
      <c r="H107" s="38">
        <f t="shared" si="89"/>
        <v>407.1</v>
      </c>
      <c r="I107" s="38">
        <f t="shared" si="89"/>
        <v>0</v>
      </c>
      <c r="J107" s="18">
        <f>SUM(K107:N107)</f>
        <v>0</v>
      </c>
      <c r="K107" s="19">
        <v>0</v>
      </c>
      <c r="L107" s="19">
        <v>0</v>
      </c>
      <c r="M107" s="19">
        <v>0</v>
      </c>
      <c r="N107" s="19">
        <v>0</v>
      </c>
      <c r="O107" s="18">
        <f>SUM(P107:S107)</f>
        <v>407.1</v>
      </c>
      <c r="P107" s="19">
        <v>0</v>
      </c>
      <c r="Q107" s="19">
        <v>0</v>
      </c>
      <c r="R107" s="19">
        <v>407.1</v>
      </c>
      <c r="S107" s="19">
        <v>0</v>
      </c>
      <c r="T107" s="18">
        <f>SUM(U107:X107)</f>
        <v>0</v>
      </c>
      <c r="U107" s="19">
        <v>0</v>
      </c>
      <c r="V107" s="19">
        <v>0</v>
      </c>
      <c r="W107" s="19">
        <v>0</v>
      </c>
      <c r="X107" s="19">
        <v>0</v>
      </c>
      <c r="Y107" s="18">
        <f>SUM(Z107:AC107)</f>
        <v>0</v>
      </c>
      <c r="Z107" s="19">
        <v>0</v>
      </c>
      <c r="AA107" s="19">
        <v>0</v>
      </c>
      <c r="AB107" s="19">
        <v>0</v>
      </c>
      <c r="AC107" s="19">
        <v>0</v>
      </c>
      <c r="AD107" s="18">
        <f>SUM(AE107:AH107)</f>
        <v>0</v>
      </c>
      <c r="AE107" s="19">
        <v>0</v>
      </c>
      <c r="AF107" s="19">
        <v>0</v>
      </c>
      <c r="AG107" s="19">
        <v>0</v>
      </c>
      <c r="AH107" s="19">
        <v>0</v>
      </c>
      <c r="AI107" s="18">
        <f>SUM(AJ107:AM107)</f>
        <v>0</v>
      </c>
      <c r="AJ107" s="19">
        <v>0</v>
      </c>
      <c r="AK107" s="19">
        <v>0</v>
      </c>
      <c r="AL107" s="19">
        <v>0</v>
      </c>
      <c r="AM107" s="19">
        <v>0</v>
      </c>
    </row>
    <row r="108" spans="1:39" s="2" customFormat="1" ht="63" outlineLevel="2" x14ac:dyDescent="0.25">
      <c r="A108" s="8" t="s">
        <v>516</v>
      </c>
      <c r="B108" s="43" t="s">
        <v>517</v>
      </c>
      <c r="C108" s="26" t="s">
        <v>32</v>
      </c>
      <c r="D108" s="26" t="s">
        <v>118</v>
      </c>
      <c r="E108" s="20">
        <f t="shared" si="88"/>
        <v>390.8</v>
      </c>
      <c r="F108" s="38">
        <f>K108+P108+U108+Z108+AE108+AJ108</f>
        <v>0</v>
      </c>
      <c r="G108" s="38">
        <f t="shared" si="89"/>
        <v>0</v>
      </c>
      <c r="H108" s="38">
        <f t="shared" si="89"/>
        <v>390.8</v>
      </c>
      <c r="I108" s="38">
        <f t="shared" si="89"/>
        <v>0</v>
      </c>
      <c r="J108" s="18">
        <f>SUM(K108:N108)</f>
        <v>0</v>
      </c>
      <c r="K108" s="19">
        <v>0</v>
      </c>
      <c r="L108" s="19">
        <v>0</v>
      </c>
      <c r="M108" s="19">
        <v>0</v>
      </c>
      <c r="N108" s="19">
        <v>0</v>
      </c>
      <c r="O108" s="18">
        <f>SUM(P108:S108)</f>
        <v>390.8</v>
      </c>
      <c r="P108" s="19">
        <v>0</v>
      </c>
      <c r="Q108" s="19">
        <v>0</v>
      </c>
      <c r="R108" s="19">
        <f>451.2-60.4</f>
        <v>390.8</v>
      </c>
      <c r="S108" s="19">
        <v>0</v>
      </c>
      <c r="T108" s="18">
        <f>SUM(U108:X108)</f>
        <v>0</v>
      </c>
      <c r="U108" s="19">
        <v>0</v>
      </c>
      <c r="V108" s="19">
        <v>0</v>
      </c>
      <c r="W108" s="19">
        <v>0</v>
      </c>
      <c r="X108" s="19">
        <v>0</v>
      </c>
      <c r="Y108" s="18">
        <f>SUM(Z108:AC108)</f>
        <v>0</v>
      </c>
      <c r="Z108" s="19">
        <v>0</v>
      </c>
      <c r="AA108" s="19">
        <v>0</v>
      </c>
      <c r="AB108" s="19">
        <v>0</v>
      </c>
      <c r="AC108" s="19">
        <v>0</v>
      </c>
      <c r="AD108" s="18">
        <f>SUM(AE108:AH108)</f>
        <v>0</v>
      </c>
      <c r="AE108" s="19">
        <v>0</v>
      </c>
      <c r="AF108" s="19">
        <v>0</v>
      </c>
      <c r="AG108" s="19">
        <v>0</v>
      </c>
      <c r="AH108" s="19">
        <v>0</v>
      </c>
      <c r="AI108" s="18">
        <f>SUM(AJ108:AM108)</f>
        <v>0</v>
      </c>
      <c r="AJ108" s="19">
        <v>0</v>
      </c>
      <c r="AK108" s="19">
        <v>0</v>
      </c>
      <c r="AL108" s="19">
        <v>0</v>
      </c>
      <c r="AM108" s="19">
        <v>0</v>
      </c>
    </row>
    <row r="109" spans="1:39" s="2" customFormat="1" ht="78.75" outlineLevel="2" x14ac:dyDescent="0.25">
      <c r="A109" s="8" t="s">
        <v>723</v>
      </c>
      <c r="B109" s="43" t="s">
        <v>724</v>
      </c>
      <c r="C109" s="26" t="s">
        <v>32</v>
      </c>
      <c r="D109" s="26" t="s">
        <v>118</v>
      </c>
      <c r="E109" s="20">
        <f t="shared" si="88"/>
        <v>38.5</v>
      </c>
      <c r="F109" s="38">
        <f>K109+P109+U109+Z109+AE109+AJ109</f>
        <v>0</v>
      </c>
      <c r="G109" s="38">
        <f t="shared" si="89"/>
        <v>0</v>
      </c>
      <c r="H109" s="38">
        <f t="shared" si="89"/>
        <v>38.5</v>
      </c>
      <c r="I109" s="38">
        <f t="shared" si="89"/>
        <v>0</v>
      </c>
      <c r="J109" s="18">
        <f>SUM(K109:N109)</f>
        <v>0</v>
      </c>
      <c r="K109" s="19">
        <v>0</v>
      </c>
      <c r="L109" s="19">
        <v>0</v>
      </c>
      <c r="M109" s="19">
        <v>0</v>
      </c>
      <c r="N109" s="19">
        <v>0</v>
      </c>
      <c r="O109" s="18">
        <f>SUM(P109:S109)</f>
        <v>38.5</v>
      </c>
      <c r="P109" s="19">
        <v>0</v>
      </c>
      <c r="Q109" s="19">
        <v>0</v>
      </c>
      <c r="R109" s="19">
        <v>38.5</v>
      </c>
      <c r="S109" s="19">
        <v>0</v>
      </c>
      <c r="T109" s="18">
        <f>SUM(U109:X109)</f>
        <v>0</v>
      </c>
      <c r="U109" s="19">
        <v>0</v>
      </c>
      <c r="V109" s="19">
        <v>0</v>
      </c>
      <c r="W109" s="19">
        <v>0</v>
      </c>
      <c r="X109" s="19">
        <v>0</v>
      </c>
      <c r="Y109" s="18">
        <f>SUM(Z109:AC109)</f>
        <v>0</v>
      </c>
      <c r="Z109" s="19">
        <v>0</v>
      </c>
      <c r="AA109" s="19">
        <v>0</v>
      </c>
      <c r="AB109" s="19">
        <v>0</v>
      </c>
      <c r="AC109" s="19">
        <v>0</v>
      </c>
      <c r="AD109" s="18">
        <f>SUM(AE109:AH109)</f>
        <v>0</v>
      </c>
      <c r="AE109" s="19">
        <v>0</v>
      </c>
      <c r="AF109" s="19">
        <v>0</v>
      </c>
      <c r="AG109" s="19">
        <v>0</v>
      </c>
      <c r="AH109" s="19">
        <v>0</v>
      </c>
      <c r="AI109" s="18">
        <f>SUM(AJ109:AM109)</f>
        <v>0</v>
      </c>
      <c r="AJ109" s="19">
        <v>0</v>
      </c>
      <c r="AK109" s="19">
        <v>0</v>
      </c>
      <c r="AL109" s="19">
        <v>0</v>
      </c>
      <c r="AM109" s="19">
        <v>0</v>
      </c>
    </row>
    <row r="110" spans="1:39" s="2" customFormat="1" ht="119.25" customHeight="1" outlineLevel="2" x14ac:dyDescent="0.25">
      <c r="A110" s="8" t="s">
        <v>842</v>
      </c>
      <c r="B110" s="119" t="s">
        <v>841</v>
      </c>
      <c r="C110" s="26" t="s">
        <v>32</v>
      </c>
      <c r="D110" s="26" t="s">
        <v>118</v>
      </c>
      <c r="E110" s="20">
        <f t="shared" si="88"/>
        <v>72</v>
      </c>
      <c r="F110" s="38">
        <f>K110+P110+U110+Z110+AE110+AJ110</f>
        <v>0</v>
      </c>
      <c r="G110" s="38">
        <f>L110+Q110+V110+AA110+AF110+AK110</f>
        <v>0</v>
      </c>
      <c r="H110" s="38">
        <f>M110+R110+W110+AB110+AG110+AL110</f>
        <v>72</v>
      </c>
      <c r="I110" s="38"/>
      <c r="J110" s="18"/>
      <c r="K110" s="19"/>
      <c r="L110" s="19"/>
      <c r="M110" s="19"/>
      <c r="N110" s="19"/>
      <c r="O110" s="18"/>
      <c r="P110" s="19"/>
      <c r="Q110" s="19"/>
      <c r="R110" s="19"/>
      <c r="S110" s="19"/>
      <c r="T110" s="18">
        <f>W110</f>
        <v>72</v>
      </c>
      <c r="U110" s="19"/>
      <c r="V110" s="19"/>
      <c r="W110" s="19">
        <v>72</v>
      </c>
      <c r="X110" s="19"/>
      <c r="Y110" s="18"/>
      <c r="Z110" s="19"/>
      <c r="AA110" s="19"/>
      <c r="AB110" s="19"/>
      <c r="AC110" s="19"/>
      <c r="AD110" s="18"/>
      <c r="AE110" s="19"/>
      <c r="AF110" s="19"/>
      <c r="AG110" s="19"/>
      <c r="AH110" s="19"/>
      <c r="AI110" s="18"/>
      <c r="AJ110" s="19"/>
      <c r="AK110" s="19"/>
      <c r="AL110" s="19"/>
      <c r="AM110" s="19"/>
    </row>
    <row r="111" spans="1:39" s="2" customFormat="1" ht="94.5" outlineLevel="2" x14ac:dyDescent="0.25">
      <c r="A111" s="8" t="s">
        <v>932</v>
      </c>
      <c r="B111" s="119" t="s">
        <v>933</v>
      </c>
      <c r="C111" s="26" t="s">
        <v>32</v>
      </c>
      <c r="D111" s="26" t="s">
        <v>118</v>
      </c>
      <c r="E111" s="20">
        <f>H111</f>
        <v>412.3</v>
      </c>
      <c r="F111" s="38"/>
      <c r="G111" s="38"/>
      <c r="H111" s="38">
        <f>M111+R111+W111+AB111+AG111+AL111</f>
        <v>412.3</v>
      </c>
      <c r="I111" s="38"/>
      <c r="J111" s="18"/>
      <c r="K111" s="19"/>
      <c r="L111" s="19"/>
      <c r="M111" s="19"/>
      <c r="N111" s="19"/>
      <c r="O111" s="18"/>
      <c r="P111" s="19"/>
      <c r="Q111" s="19"/>
      <c r="R111" s="19"/>
      <c r="S111" s="19"/>
      <c r="T111" s="18">
        <f>W111</f>
        <v>412.3</v>
      </c>
      <c r="U111" s="19"/>
      <c r="V111" s="19"/>
      <c r="W111" s="19">
        <v>412.3</v>
      </c>
      <c r="X111" s="19"/>
      <c r="Y111" s="18"/>
      <c r="Z111" s="19"/>
      <c r="AA111" s="19"/>
      <c r="AB111" s="19"/>
      <c r="AC111" s="19"/>
      <c r="AD111" s="18"/>
      <c r="AE111" s="19"/>
      <c r="AF111" s="19"/>
      <c r="AG111" s="19"/>
      <c r="AH111" s="19"/>
      <c r="AI111" s="18"/>
      <c r="AJ111" s="19"/>
      <c r="AK111" s="19"/>
      <c r="AL111" s="19"/>
      <c r="AM111" s="19"/>
    </row>
    <row r="112" spans="1:39" s="2" customFormat="1" ht="34.5" customHeight="1" outlineLevel="1" x14ac:dyDescent="0.25">
      <c r="A112" s="138" t="s">
        <v>771</v>
      </c>
      <c r="B112" s="184" t="s">
        <v>772</v>
      </c>
      <c r="C112" s="184"/>
      <c r="D112" s="173"/>
      <c r="E112" s="20">
        <f>SUM(E113:E114)</f>
        <v>1975.3</v>
      </c>
      <c r="F112" s="20">
        <f t="shared" ref="F112:Y112" si="90">SUM(F113:F114)</f>
        <v>0</v>
      </c>
      <c r="G112" s="20">
        <f t="shared" si="90"/>
        <v>0</v>
      </c>
      <c r="H112" s="20">
        <f t="shared" si="90"/>
        <v>1975.3</v>
      </c>
      <c r="I112" s="20">
        <f t="shared" si="90"/>
        <v>0</v>
      </c>
      <c r="J112" s="20">
        <f t="shared" si="90"/>
        <v>0</v>
      </c>
      <c r="K112" s="20">
        <f t="shared" si="90"/>
        <v>0</v>
      </c>
      <c r="L112" s="20">
        <f t="shared" si="90"/>
        <v>0</v>
      </c>
      <c r="M112" s="20">
        <f t="shared" si="90"/>
        <v>0</v>
      </c>
      <c r="N112" s="20">
        <f t="shared" si="90"/>
        <v>0</v>
      </c>
      <c r="O112" s="20">
        <f t="shared" si="90"/>
        <v>0</v>
      </c>
      <c r="P112" s="20">
        <f t="shared" si="90"/>
        <v>0</v>
      </c>
      <c r="Q112" s="20">
        <f t="shared" si="90"/>
        <v>0</v>
      </c>
      <c r="R112" s="20">
        <f t="shared" si="90"/>
        <v>0</v>
      </c>
      <c r="S112" s="20">
        <f t="shared" si="90"/>
        <v>0</v>
      </c>
      <c r="T112" s="20">
        <f t="shared" si="90"/>
        <v>1975.3</v>
      </c>
      <c r="U112" s="20">
        <f t="shared" si="90"/>
        <v>0</v>
      </c>
      <c r="V112" s="20">
        <f t="shared" si="90"/>
        <v>0</v>
      </c>
      <c r="W112" s="20">
        <f t="shared" si="90"/>
        <v>1975.3</v>
      </c>
      <c r="X112" s="20">
        <f t="shared" si="90"/>
        <v>0</v>
      </c>
      <c r="Y112" s="20">
        <f t="shared" si="90"/>
        <v>0</v>
      </c>
      <c r="Z112" s="20">
        <f t="shared" ref="Z112:AM112" si="91">SUM(Z113)</f>
        <v>0</v>
      </c>
      <c r="AA112" s="20">
        <f t="shared" si="91"/>
        <v>0</v>
      </c>
      <c r="AB112" s="20">
        <f t="shared" si="91"/>
        <v>0</v>
      </c>
      <c r="AC112" s="20">
        <f t="shared" si="91"/>
        <v>0</v>
      </c>
      <c r="AD112" s="20">
        <f t="shared" si="91"/>
        <v>0</v>
      </c>
      <c r="AE112" s="20">
        <f t="shared" si="91"/>
        <v>0</v>
      </c>
      <c r="AF112" s="20">
        <f t="shared" si="91"/>
        <v>0</v>
      </c>
      <c r="AG112" s="20">
        <f t="shared" si="91"/>
        <v>0</v>
      </c>
      <c r="AH112" s="20">
        <f t="shared" si="91"/>
        <v>0</v>
      </c>
      <c r="AI112" s="20">
        <f t="shared" si="91"/>
        <v>0</v>
      </c>
      <c r="AJ112" s="20">
        <f t="shared" si="91"/>
        <v>0</v>
      </c>
      <c r="AK112" s="20">
        <f t="shared" si="91"/>
        <v>0</v>
      </c>
      <c r="AL112" s="20">
        <f t="shared" si="91"/>
        <v>0</v>
      </c>
      <c r="AM112" s="20">
        <f t="shared" si="91"/>
        <v>0</v>
      </c>
    </row>
    <row r="113" spans="1:39" s="2" customFormat="1" ht="63" outlineLevel="2" x14ac:dyDescent="0.25">
      <c r="A113" s="8" t="s">
        <v>773</v>
      </c>
      <c r="B113" s="25" t="s">
        <v>774</v>
      </c>
      <c r="C113" s="26" t="s">
        <v>32</v>
      </c>
      <c r="D113" s="26" t="s">
        <v>118</v>
      </c>
      <c r="E113" s="20">
        <f>SUM(F113:I113)</f>
        <v>417.5</v>
      </c>
      <c r="F113" s="20">
        <f>K113</f>
        <v>0</v>
      </c>
      <c r="G113" s="38">
        <f>L113+Q113+V113+AA113+AF113+AK113</f>
        <v>0</v>
      </c>
      <c r="H113" s="38">
        <f>M113+R113+W113+AB113+AG113+AL113</f>
        <v>417.5</v>
      </c>
      <c r="I113" s="38">
        <f>N113+S113+X113+AC113+AH113+AM113</f>
        <v>0</v>
      </c>
      <c r="J113" s="18">
        <f>SUM(K113:N113)</f>
        <v>0</v>
      </c>
      <c r="K113" s="19">
        <v>0</v>
      </c>
      <c r="L113" s="19">
        <v>0</v>
      </c>
      <c r="M113" s="19">
        <v>0</v>
      </c>
      <c r="N113" s="19">
        <v>0</v>
      </c>
      <c r="O113" s="18">
        <f>SUM(P113:S113)</f>
        <v>0</v>
      </c>
      <c r="P113" s="19">
        <v>0</v>
      </c>
      <c r="Q113" s="19">
        <v>0</v>
      </c>
      <c r="R113" s="19">
        <v>0</v>
      </c>
      <c r="S113" s="19">
        <v>0</v>
      </c>
      <c r="T113" s="18">
        <f>SUM(U113:X113)</f>
        <v>417.5</v>
      </c>
      <c r="U113" s="19">
        <v>0</v>
      </c>
      <c r="V113" s="19">
        <v>0</v>
      </c>
      <c r="W113" s="19">
        <v>417.5</v>
      </c>
      <c r="X113" s="19">
        <v>0</v>
      </c>
      <c r="Y113" s="18">
        <f>SUM(Z113:AC113)</f>
        <v>0</v>
      </c>
      <c r="Z113" s="19">
        <v>0</v>
      </c>
      <c r="AA113" s="19">
        <v>0</v>
      </c>
      <c r="AB113" s="19">
        <v>0</v>
      </c>
      <c r="AC113" s="19">
        <v>0</v>
      </c>
      <c r="AD113" s="18">
        <f>SUM(AE113:AH113)</f>
        <v>0</v>
      </c>
      <c r="AE113" s="19">
        <v>0</v>
      </c>
      <c r="AF113" s="19">
        <v>0</v>
      </c>
      <c r="AG113" s="19">
        <v>0</v>
      </c>
      <c r="AH113" s="19">
        <v>0</v>
      </c>
      <c r="AI113" s="18">
        <f>SUM(AJ113:AM113)</f>
        <v>0</v>
      </c>
      <c r="AJ113" s="19">
        <v>0</v>
      </c>
      <c r="AK113" s="19">
        <v>0</v>
      </c>
      <c r="AL113" s="19">
        <v>0</v>
      </c>
      <c r="AM113" s="19">
        <v>0</v>
      </c>
    </row>
    <row r="114" spans="1:39" s="2" customFormat="1" ht="47.25" outlineLevel="2" x14ac:dyDescent="0.25">
      <c r="A114" s="8" t="s">
        <v>838</v>
      </c>
      <c r="B114" s="25" t="s">
        <v>1023</v>
      </c>
      <c r="C114" s="26" t="s">
        <v>32</v>
      </c>
      <c r="D114" s="26" t="s">
        <v>118</v>
      </c>
      <c r="E114" s="20">
        <f>SUM(F114:I114)</f>
        <v>1557.8</v>
      </c>
      <c r="F114" s="20">
        <f>K114</f>
        <v>0</v>
      </c>
      <c r="G114" s="38">
        <f>L114+Q114+V114+AA114+AF114+AK114</f>
        <v>0</v>
      </c>
      <c r="H114" s="38">
        <f>M114+R114+W114+AB114+AG114+AL114</f>
        <v>1557.8</v>
      </c>
      <c r="I114" s="38"/>
      <c r="J114" s="18"/>
      <c r="K114" s="19"/>
      <c r="L114" s="19"/>
      <c r="M114" s="19"/>
      <c r="N114" s="19"/>
      <c r="O114" s="18"/>
      <c r="P114" s="19"/>
      <c r="Q114" s="19"/>
      <c r="R114" s="19"/>
      <c r="S114" s="19"/>
      <c r="T114" s="18">
        <f>SUM(U114:X114)</f>
        <v>1557.8</v>
      </c>
      <c r="U114" s="19"/>
      <c r="V114" s="19"/>
      <c r="W114" s="19">
        <f>794.5+763.3</f>
        <v>1557.8</v>
      </c>
      <c r="X114" s="19"/>
      <c r="Y114" s="18"/>
      <c r="Z114" s="19"/>
      <c r="AA114" s="19"/>
      <c r="AB114" s="19"/>
      <c r="AC114" s="19"/>
      <c r="AD114" s="18"/>
      <c r="AE114" s="19"/>
      <c r="AF114" s="19"/>
      <c r="AG114" s="19"/>
      <c r="AH114" s="19"/>
      <c r="AI114" s="18"/>
      <c r="AJ114" s="19"/>
      <c r="AK114" s="19"/>
      <c r="AL114" s="19"/>
      <c r="AM114" s="19"/>
    </row>
    <row r="115" spans="1:39" s="5" customFormat="1" ht="45.75" customHeight="1" x14ac:dyDescent="0.25">
      <c r="A115" s="138">
        <v>2</v>
      </c>
      <c r="B115" s="171" t="s">
        <v>412</v>
      </c>
      <c r="C115" s="172"/>
      <c r="D115" s="172"/>
      <c r="E115" s="18">
        <f>E116+E130+E134+E151+E183+E192+E197+E200</f>
        <v>268684.20398625149</v>
      </c>
      <c r="F115" s="18" t="e">
        <f>F116+F130+F134+F151+F183+F192+F197+F200+#REF!</f>
        <v>#REF!</v>
      </c>
      <c r="G115" s="18">
        <f t="shared" ref="G115:AM115" si="92">G116+G130+G134+G151+G183+G192+G197+G200</f>
        <v>68785.3</v>
      </c>
      <c r="H115" s="18">
        <f t="shared" si="92"/>
        <v>199898.90398625151</v>
      </c>
      <c r="I115" s="18">
        <f t="shared" si="92"/>
        <v>0</v>
      </c>
      <c r="J115" s="18">
        <f t="shared" si="92"/>
        <v>51234.900000000009</v>
      </c>
      <c r="K115" s="18">
        <f t="shared" si="92"/>
        <v>0</v>
      </c>
      <c r="L115" s="18">
        <f t="shared" si="92"/>
        <v>6177.8</v>
      </c>
      <c r="M115" s="18">
        <f t="shared" si="92"/>
        <v>45057.100000000006</v>
      </c>
      <c r="N115" s="18">
        <f t="shared" si="92"/>
        <v>0</v>
      </c>
      <c r="O115" s="18">
        <f t="shared" si="92"/>
        <v>29151.103986251528</v>
      </c>
      <c r="P115" s="18">
        <f t="shared" si="92"/>
        <v>0</v>
      </c>
      <c r="Q115" s="18">
        <f t="shared" si="92"/>
        <v>0</v>
      </c>
      <c r="R115" s="18">
        <f t="shared" si="92"/>
        <v>29151.103986251528</v>
      </c>
      <c r="S115" s="18">
        <f t="shared" si="92"/>
        <v>0</v>
      </c>
      <c r="T115" s="18">
        <f t="shared" si="92"/>
        <v>130723.09999999999</v>
      </c>
      <c r="U115" s="18">
        <f t="shared" si="92"/>
        <v>0</v>
      </c>
      <c r="V115" s="18">
        <f t="shared" si="92"/>
        <v>62607.5</v>
      </c>
      <c r="W115" s="18">
        <f t="shared" si="92"/>
        <v>68115.599999999991</v>
      </c>
      <c r="X115" s="18">
        <f t="shared" si="92"/>
        <v>0</v>
      </c>
      <c r="Y115" s="18">
        <f t="shared" si="92"/>
        <v>18703.200000000004</v>
      </c>
      <c r="Z115" s="18">
        <f t="shared" si="92"/>
        <v>0</v>
      </c>
      <c r="AA115" s="18">
        <f t="shared" si="92"/>
        <v>0</v>
      </c>
      <c r="AB115" s="18">
        <f t="shared" si="92"/>
        <v>18703.200000000004</v>
      </c>
      <c r="AC115" s="18">
        <f t="shared" si="92"/>
        <v>0</v>
      </c>
      <c r="AD115" s="18">
        <f t="shared" si="92"/>
        <v>19451.2</v>
      </c>
      <c r="AE115" s="18">
        <f t="shared" si="92"/>
        <v>0</v>
      </c>
      <c r="AF115" s="18">
        <f t="shared" si="92"/>
        <v>0</v>
      </c>
      <c r="AG115" s="18">
        <f t="shared" si="92"/>
        <v>19451.2</v>
      </c>
      <c r="AH115" s="18">
        <f t="shared" si="92"/>
        <v>0</v>
      </c>
      <c r="AI115" s="18">
        <f t="shared" si="92"/>
        <v>19420.7</v>
      </c>
      <c r="AJ115" s="18">
        <f t="shared" si="92"/>
        <v>0</v>
      </c>
      <c r="AK115" s="18">
        <f t="shared" si="92"/>
        <v>0</v>
      </c>
      <c r="AL115" s="18">
        <f t="shared" si="92"/>
        <v>19420.7</v>
      </c>
      <c r="AM115" s="18">
        <f t="shared" si="92"/>
        <v>0</v>
      </c>
    </row>
    <row r="116" spans="1:39" s="5" customFormat="1" ht="20.25" customHeight="1" outlineLevel="1" x14ac:dyDescent="0.25">
      <c r="A116" s="138" t="s">
        <v>145</v>
      </c>
      <c r="B116" s="173" t="s">
        <v>37</v>
      </c>
      <c r="C116" s="174"/>
      <c r="D116" s="174"/>
      <c r="E116" s="18">
        <f>SUM(E117:E129)</f>
        <v>20019.899999999998</v>
      </c>
      <c r="F116" s="18">
        <f t="shared" ref="F116:AM116" si="93">SUM(F117:F129)</f>
        <v>0</v>
      </c>
      <c r="G116" s="18">
        <f t="shared" si="93"/>
        <v>0</v>
      </c>
      <c r="H116" s="18">
        <f t="shared" si="93"/>
        <v>20019.899999999998</v>
      </c>
      <c r="I116" s="18">
        <f t="shared" si="93"/>
        <v>0</v>
      </c>
      <c r="J116" s="18">
        <f t="shared" si="93"/>
        <v>2743.8</v>
      </c>
      <c r="K116" s="18">
        <f t="shared" si="93"/>
        <v>0</v>
      </c>
      <c r="L116" s="18">
        <f t="shared" si="93"/>
        <v>0</v>
      </c>
      <c r="M116" s="18">
        <f t="shared" si="93"/>
        <v>2743.8</v>
      </c>
      <c r="N116" s="18">
        <f t="shared" si="93"/>
        <v>0</v>
      </c>
      <c r="O116" s="18">
        <f t="shared" si="93"/>
        <v>6381.2</v>
      </c>
      <c r="P116" s="18">
        <f t="shared" si="93"/>
        <v>0</v>
      </c>
      <c r="Q116" s="18">
        <f t="shared" si="93"/>
        <v>0</v>
      </c>
      <c r="R116" s="18">
        <f>SUM(R117:R129)</f>
        <v>6381.2</v>
      </c>
      <c r="S116" s="18">
        <f t="shared" si="93"/>
        <v>0</v>
      </c>
      <c r="T116" s="18">
        <f t="shared" si="93"/>
        <v>2657.5</v>
      </c>
      <c r="U116" s="18">
        <f t="shared" si="93"/>
        <v>0</v>
      </c>
      <c r="V116" s="18">
        <f t="shared" si="93"/>
        <v>0</v>
      </c>
      <c r="W116" s="18">
        <f t="shared" si="93"/>
        <v>2657.5</v>
      </c>
      <c r="X116" s="18">
        <f t="shared" si="93"/>
        <v>0</v>
      </c>
      <c r="Y116" s="18">
        <f t="shared" si="93"/>
        <v>2674.5999999999995</v>
      </c>
      <c r="Z116" s="18">
        <f t="shared" si="93"/>
        <v>0</v>
      </c>
      <c r="AA116" s="18">
        <f t="shared" si="93"/>
        <v>0</v>
      </c>
      <c r="AB116" s="18">
        <f t="shared" si="93"/>
        <v>2674.5999999999995</v>
      </c>
      <c r="AC116" s="18">
        <f t="shared" si="93"/>
        <v>0</v>
      </c>
      <c r="AD116" s="18">
        <f t="shared" si="93"/>
        <v>2781.4</v>
      </c>
      <c r="AE116" s="18">
        <f t="shared" si="93"/>
        <v>0</v>
      </c>
      <c r="AF116" s="18">
        <f t="shared" si="93"/>
        <v>0</v>
      </c>
      <c r="AG116" s="18">
        <f t="shared" si="93"/>
        <v>2781.4</v>
      </c>
      <c r="AH116" s="18">
        <f t="shared" si="93"/>
        <v>0</v>
      </c>
      <c r="AI116" s="18">
        <f t="shared" si="93"/>
        <v>2781.4</v>
      </c>
      <c r="AJ116" s="18">
        <f t="shared" si="93"/>
        <v>0</v>
      </c>
      <c r="AK116" s="18">
        <f t="shared" si="93"/>
        <v>0</v>
      </c>
      <c r="AL116" s="18">
        <f t="shared" si="93"/>
        <v>2781.4</v>
      </c>
      <c r="AM116" s="18">
        <f t="shared" si="93"/>
        <v>0</v>
      </c>
    </row>
    <row r="117" spans="1:39" s="2" customFormat="1" ht="31.5" outlineLevel="2" x14ac:dyDescent="0.25">
      <c r="A117" s="8" t="s">
        <v>146</v>
      </c>
      <c r="B117" s="25" t="s">
        <v>59</v>
      </c>
      <c r="C117" s="26" t="s">
        <v>32</v>
      </c>
      <c r="D117" s="26" t="s">
        <v>118</v>
      </c>
      <c r="E117" s="20">
        <f t="shared" ref="E117:E129" si="94">SUM(F117:I117)</f>
        <v>295.8</v>
      </c>
      <c r="F117" s="38">
        <f t="shared" ref="F117:F129" si="95">K117+P117+U117</f>
        <v>0</v>
      </c>
      <c r="G117" s="38">
        <f t="shared" ref="G117:I136" si="96">L117+Q117+V117+AA117+AF117+AK117</f>
        <v>0</v>
      </c>
      <c r="H117" s="38">
        <f t="shared" si="96"/>
        <v>295.8</v>
      </c>
      <c r="I117" s="38">
        <f t="shared" si="96"/>
        <v>0</v>
      </c>
      <c r="J117" s="18">
        <f t="shared" ref="J117:J129" si="97">SUM(K117:N117)</f>
        <v>44.9</v>
      </c>
      <c r="K117" s="19">
        <v>0</v>
      </c>
      <c r="L117" s="19">
        <v>0</v>
      </c>
      <c r="M117" s="19">
        <v>44.9</v>
      </c>
      <c r="N117" s="19">
        <v>0</v>
      </c>
      <c r="O117" s="18">
        <f t="shared" ref="O117:O129" si="98">SUM(P117:S117)</f>
        <v>46.7</v>
      </c>
      <c r="P117" s="19">
        <v>0</v>
      </c>
      <c r="Q117" s="19">
        <v>0</v>
      </c>
      <c r="R117" s="19">
        <v>46.7</v>
      </c>
      <c r="S117" s="19">
        <v>0</v>
      </c>
      <c r="T117" s="18">
        <f t="shared" ref="T117:T129" si="99">SUM(U117:X117)</f>
        <v>48.7</v>
      </c>
      <c r="U117" s="19">
        <v>0</v>
      </c>
      <c r="V117" s="19">
        <v>0</v>
      </c>
      <c r="W117" s="19">
        <v>48.7</v>
      </c>
      <c r="X117" s="19">
        <v>0</v>
      </c>
      <c r="Y117" s="18">
        <f t="shared" ref="Y117:Y129" si="100">SUM(Z117:AC117)</f>
        <v>50.5</v>
      </c>
      <c r="Z117" s="19">
        <v>0</v>
      </c>
      <c r="AA117" s="19">
        <v>0</v>
      </c>
      <c r="AB117" s="19">
        <v>50.5</v>
      </c>
      <c r="AC117" s="19">
        <v>0</v>
      </c>
      <c r="AD117" s="18">
        <f t="shared" ref="AD117:AD129" si="101">SUM(AE117:AH117)</f>
        <v>52.5</v>
      </c>
      <c r="AE117" s="19">
        <v>0</v>
      </c>
      <c r="AF117" s="19">
        <v>0</v>
      </c>
      <c r="AG117" s="19">
        <v>52.5</v>
      </c>
      <c r="AH117" s="19">
        <v>0</v>
      </c>
      <c r="AI117" s="18">
        <f t="shared" ref="AI117:AI129" si="102">SUM(AJ117:AM117)</f>
        <v>52.5</v>
      </c>
      <c r="AJ117" s="19">
        <v>0</v>
      </c>
      <c r="AK117" s="19">
        <v>0</v>
      </c>
      <c r="AL117" s="19">
        <v>52.5</v>
      </c>
      <c r="AM117" s="19">
        <v>0</v>
      </c>
    </row>
    <row r="118" spans="1:39" s="2" customFormat="1" ht="31.5" outlineLevel="2" x14ac:dyDescent="0.25">
      <c r="A118" s="8" t="s">
        <v>147</v>
      </c>
      <c r="B118" s="25" t="s">
        <v>49</v>
      </c>
      <c r="C118" s="26" t="s">
        <v>32</v>
      </c>
      <c r="D118" s="26" t="s">
        <v>118</v>
      </c>
      <c r="E118" s="20">
        <f t="shared" si="94"/>
        <v>1514.2999999999997</v>
      </c>
      <c r="F118" s="38">
        <f t="shared" si="95"/>
        <v>0</v>
      </c>
      <c r="G118" s="38">
        <f t="shared" si="96"/>
        <v>0</v>
      </c>
      <c r="H118" s="38">
        <f t="shared" si="96"/>
        <v>1514.2999999999997</v>
      </c>
      <c r="I118" s="38">
        <f t="shared" si="96"/>
        <v>0</v>
      </c>
      <c r="J118" s="18">
        <f t="shared" si="97"/>
        <v>140.80000000000001</v>
      </c>
      <c r="K118" s="19">
        <v>0</v>
      </c>
      <c r="L118" s="19">
        <v>0</v>
      </c>
      <c r="M118" s="19">
        <v>140.80000000000001</v>
      </c>
      <c r="N118" s="19">
        <v>0</v>
      </c>
      <c r="O118" s="18">
        <f t="shared" si="98"/>
        <v>776.8</v>
      </c>
      <c r="P118" s="19">
        <v>0</v>
      </c>
      <c r="Q118" s="19">
        <v>0</v>
      </c>
      <c r="R118" s="45">
        <f>146.4+630.4</f>
        <v>776.8</v>
      </c>
      <c r="S118" s="19">
        <v>0</v>
      </c>
      <c r="T118" s="18">
        <f t="shared" si="99"/>
        <v>110.1</v>
      </c>
      <c r="U118" s="19">
        <v>0</v>
      </c>
      <c r="V118" s="19">
        <v>0</v>
      </c>
      <c r="W118" s="19">
        <f>152.5-42.4</f>
        <v>110.1</v>
      </c>
      <c r="X118" s="19">
        <v>0</v>
      </c>
      <c r="Y118" s="18">
        <f t="shared" si="100"/>
        <v>158</v>
      </c>
      <c r="Z118" s="19">
        <v>0</v>
      </c>
      <c r="AA118" s="19">
        <v>0</v>
      </c>
      <c r="AB118" s="19">
        <v>158</v>
      </c>
      <c r="AC118" s="19">
        <v>0</v>
      </c>
      <c r="AD118" s="18">
        <f t="shared" si="101"/>
        <v>164.3</v>
      </c>
      <c r="AE118" s="19">
        <v>0</v>
      </c>
      <c r="AF118" s="19">
        <v>0</v>
      </c>
      <c r="AG118" s="19">
        <v>164.3</v>
      </c>
      <c r="AH118" s="19">
        <v>0</v>
      </c>
      <c r="AI118" s="18">
        <f t="shared" si="102"/>
        <v>164.3</v>
      </c>
      <c r="AJ118" s="19">
        <v>0</v>
      </c>
      <c r="AK118" s="19">
        <v>0</v>
      </c>
      <c r="AL118" s="19">
        <v>164.3</v>
      </c>
      <c r="AM118" s="19">
        <v>0</v>
      </c>
    </row>
    <row r="119" spans="1:39" s="2" customFormat="1" ht="31.5" outlineLevel="2" x14ac:dyDescent="0.25">
      <c r="A119" s="8" t="s">
        <v>148</v>
      </c>
      <c r="B119" s="25" t="s">
        <v>50</v>
      </c>
      <c r="C119" s="26" t="s">
        <v>32</v>
      </c>
      <c r="D119" s="26" t="s">
        <v>118</v>
      </c>
      <c r="E119" s="20">
        <f t="shared" si="94"/>
        <v>132.4</v>
      </c>
      <c r="F119" s="38">
        <f t="shared" si="95"/>
        <v>0</v>
      </c>
      <c r="G119" s="38">
        <f t="shared" si="96"/>
        <v>0</v>
      </c>
      <c r="H119" s="38">
        <f t="shared" si="96"/>
        <v>132.4</v>
      </c>
      <c r="I119" s="38">
        <f t="shared" si="96"/>
        <v>0</v>
      </c>
      <c r="J119" s="18">
        <f t="shared" si="97"/>
        <v>20.100000000000001</v>
      </c>
      <c r="K119" s="19">
        <v>0</v>
      </c>
      <c r="L119" s="19">
        <v>0</v>
      </c>
      <c r="M119" s="19">
        <v>20.100000000000001</v>
      </c>
      <c r="N119" s="19">
        <v>0</v>
      </c>
      <c r="O119" s="18">
        <f t="shared" si="98"/>
        <v>20.9</v>
      </c>
      <c r="P119" s="19">
        <v>0</v>
      </c>
      <c r="Q119" s="19">
        <v>0</v>
      </c>
      <c r="R119" s="19">
        <v>20.9</v>
      </c>
      <c r="S119" s="19">
        <v>0</v>
      </c>
      <c r="T119" s="18">
        <f t="shared" si="99"/>
        <v>21.8</v>
      </c>
      <c r="U119" s="19">
        <v>0</v>
      </c>
      <c r="V119" s="19">
        <v>0</v>
      </c>
      <c r="W119" s="19">
        <v>21.8</v>
      </c>
      <c r="X119" s="19">
        <v>0</v>
      </c>
      <c r="Y119" s="18">
        <f t="shared" si="100"/>
        <v>22.6</v>
      </c>
      <c r="Z119" s="19">
        <v>0</v>
      </c>
      <c r="AA119" s="19">
        <v>0</v>
      </c>
      <c r="AB119" s="19">
        <v>22.6</v>
      </c>
      <c r="AC119" s="19">
        <v>0</v>
      </c>
      <c r="AD119" s="18">
        <f t="shared" si="101"/>
        <v>23.5</v>
      </c>
      <c r="AE119" s="19">
        <v>0</v>
      </c>
      <c r="AF119" s="19">
        <v>0</v>
      </c>
      <c r="AG119" s="19">
        <v>23.5</v>
      </c>
      <c r="AH119" s="19">
        <v>0</v>
      </c>
      <c r="AI119" s="18">
        <f t="shared" si="102"/>
        <v>23.5</v>
      </c>
      <c r="AJ119" s="19">
        <v>0</v>
      </c>
      <c r="AK119" s="19">
        <v>0</v>
      </c>
      <c r="AL119" s="19">
        <v>23.5</v>
      </c>
      <c r="AM119" s="19">
        <v>0</v>
      </c>
    </row>
    <row r="120" spans="1:39" s="2" customFormat="1" ht="31.5" outlineLevel="2" x14ac:dyDescent="0.25">
      <c r="A120" s="8" t="s">
        <v>149</v>
      </c>
      <c r="B120" s="25" t="s">
        <v>51</v>
      </c>
      <c r="C120" s="26" t="s">
        <v>32</v>
      </c>
      <c r="D120" s="26" t="s">
        <v>118</v>
      </c>
      <c r="E120" s="20">
        <f t="shared" si="94"/>
        <v>2773.7</v>
      </c>
      <c r="F120" s="38">
        <f t="shared" si="95"/>
        <v>0</v>
      </c>
      <c r="G120" s="38">
        <f t="shared" si="96"/>
        <v>0</v>
      </c>
      <c r="H120" s="38">
        <f t="shared" si="96"/>
        <v>2773.7</v>
      </c>
      <c r="I120" s="38">
        <f t="shared" si="96"/>
        <v>0</v>
      </c>
      <c r="J120" s="18">
        <f t="shared" si="97"/>
        <v>315.7</v>
      </c>
      <c r="K120" s="19">
        <v>0</v>
      </c>
      <c r="L120" s="19">
        <v>0</v>
      </c>
      <c r="M120" s="19">
        <v>315.7</v>
      </c>
      <c r="N120" s="19">
        <v>0</v>
      </c>
      <c r="O120" s="18">
        <f t="shared" si="98"/>
        <v>993.9</v>
      </c>
      <c r="P120" s="19">
        <v>0</v>
      </c>
      <c r="Q120" s="19">
        <v>0</v>
      </c>
      <c r="R120" s="19">
        <v>993.9</v>
      </c>
      <c r="S120" s="19">
        <v>0</v>
      </c>
      <c r="T120" s="18">
        <f t="shared" si="99"/>
        <v>372.5</v>
      </c>
      <c r="U120" s="19">
        <v>0</v>
      </c>
      <c r="V120" s="19">
        <v>0</v>
      </c>
      <c r="W120" s="19">
        <f>30.4+342.1</f>
        <v>372.5</v>
      </c>
      <c r="X120" s="19">
        <v>0</v>
      </c>
      <c r="Y120" s="18">
        <f t="shared" si="100"/>
        <v>354.40000000000003</v>
      </c>
      <c r="Z120" s="19">
        <v>0</v>
      </c>
      <c r="AA120" s="19">
        <v>0</v>
      </c>
      <c r="AB120" s="19">
        <v>354.40000000000003</v>
      </c>
      <c r="AC120" s="19">
        <v>0</v>
      </c>
      <c r="AD120" s="18">
        <f t="shared" si="101"/>
        <v>368.6</v>
      </c>
      <c r="AE120" s="19">
        <v>0</v>
      </c>
      <c r="AF120" s="19">
        <v>0</v>
      </c>
      <c r="AG120" s="19">
        <v>368.6</v>
      </c>
      <c r="AH120" s="19">
        <v>0</v>
      </c>
      <c r="AI120" s="18">
        <f t="shared" si="102"/>
        <v>368.6</v>
      </c>
      <c r="AJ120" s="19">
        <v>0</v>
      </c>
      <c r="AK120" s="19">
        <v>0</v>
      </c>
      <c r="AL120" s="19">
        <v>368.6</v>
      </c>
      <c r="AM120" s="19">
        <v>0</v>
      </c>
    </row>
    <row r="121" spans="1:39" s="2" customFormat="1" ht="31.5" outlineLevel="2" x14ac:dyDescent="0.25">
      <c r="A121" s="8" t="s">
        <v>150</v>
      </c>
      <c r="B121" s="25" t="s">
        <v>52</v>
      </c>
      <c r="C121" s="26" t="s">
        <v>32</v>
      </c>
      <c r="D121" s="26" t="s">
        <v>118</v>
      </c>
      <c r="E121" s="20">
        <f t="shared" si="94"/>
        <v>1561.6</v>
      </c>
      <c r="F121" s="38">
        <f t="shared" si="95"/>
        <v>0</v>
      </c>
      <c r="G121" s="38">
        <f t="shared" si="96"/>
        <v>0</v>
      </c>
      <c r="H121" s="38">
        <f t="shared" si="96"/>
        <v>1561.6</v>
      </c>
      <c r="I121" s="38">
        <f t="shared" si="96"/>
        <v>0</v>
      </c>
      <c r="J121" s="18">
        <f t="shared" si="97"/>
        <v>237.2</v>
      </c>
      <c r="K121" s="19">
        <v>0</v>
      </c>
      <c r="L121" s="19">
        <v>0</v>
      </c>
      <c r="M121" s="19">
        <v>237.2</v>
      </c>
      <c r="N121" s="19">
        <v>0</v>
      </c>
      <c r="O121" s="18">
        <f t="shared" si="98"/>
        <v>246.7</v>
      </c>
      <c r="P121" s="19">
        <v>0</v>
      </c>
      <c r="Q121" s="19">
        <v>0</v>
      </c>
      <c r="R121" s="19">
        <v>246.7</v>
      </c>
      <c r="S121" s="19">
        <v>0</v>
      </c>
      <c r="T121" s="18">
        <f t="shared" si="99"/>
        <v>257.10000000000002</v>
      </c>
      <c r="U121" s="19">
        <v>0</v>
      </c>
      <c r="V121" s="19">
        <v>0</v>
      </c>
      <c r="W121" s="19">
        <v>257.10000000000002</v>
      </c>
      <c r="X121" s="19">
        <v>0</v>
      </c>
      <c r="Y121" s="18">
        <f t="shared" si="100"/>
        <v>266.39999999999998</v>
      </c>
      <c r="Z121" s="19">
        <v>0</v>
      </c>
      <c r="AA121" s="19">
        <v>0</v>
      </c>
      <c r="AB121" s="19">
        <v>266.39999999999998</v>
      </c>
      <c r="AC121" s="19">
        <v>0</v>
      </c>
      <c r="AD121" s="18">
        <f t="shared" si="101"/>
        <v>277.10000000000002</v>
      </c>
      <c r="AE121" s="19">
        <v>0</v>
      </c>
      <c r="AF121" s="19">
        <v>0</v>
      </c>
      <c r="AG121" s="19">
        <v>277.10000000000002</v>
      </c>
      <c r="AH121" s="19">
        <v>0</v>
      </c>
      <c r="AI121" s="18">
        <f t="shared" si="102"/>
        <v>277.10000000000002</v>
      </c>
      <c r="AJ121" s="19">
        <v>0</v>
      </c>
      <c r="AK121" s="19">
        <v>0</v>
      </c>
      <c r="AL121" s="19">
        <v>277.10000000000002</v>
      </c>
      <c r="AM121" s="19">
        <v>0</v>
      </c>
    </row>
    <row r="122" spans="1:39" s="2" customFormat="1" ht="31.5" outlineLevel="2" x14ac:dyDescent="0.25">
      <c r="A122" s="8" t="s">
        <v>151</v>
      </c>
      <c r="B122" s="25" t="s">
        <v>64</v>
      </c>
      <c r="C122" s="26" t="s">
        <v>32</v>
      </c>
      <c r="D122" s="26" t="s">
        <v>118</v>
      </c>
      <c r="E122" s="20">
        <f t="shared" si="94"/>
        <v>4351.8</v>
      </c>
      <c r="F122" s="38">
        <f t="shared" si="95"/>
        <v>0</v>
      </c>
      <c r="G122" s="38">
        <f t="shared" si="96"/>
        <v>0</v>
      </c>
      <c r="H122" s="38">
        <f t="shared" si="96"/>
        <v>4351.8</v>
      </c>
      <c r="I122" s="38">
        <f t="shared" si="96"/>
        <v>0</v>
      </c>
      <c r="J122" s="18">
        <f t="shared" si="97"/>
        <v>649.29999999999995</v>
      </c>
      <c r="K122" s="19">
        <v>0</v>
      </c>
      <c r="L122" s="19">
        <v>0</v>
      </c>
      <c r="M122" s="19">
        <f>119.5+287.7+242.1</f>
        <v>649.29999999999995</v>
      </c>
      <c r="N122" s="19">
        <v>0</v>
      </c>
      <c r="O122" s="18">
        <f t="shared" si="98"/>
        <v>2395.8999999999996</v>
      </c>
      <c r="P122" s="19">
        <v>0</v>
      </c>
      <c r="Q122" s="19">
        <v>0</v>
      </c>
      <c r="R122" s="19">
        <f>299.2+2000+96.7</f>
        <v>2395.8999999999996</v>
      </c>
      <c r="S122" s="19">
        <v>0</v>
      </c>
      <c r="T122" s="18">
        <f t="shared" si="99"/>
        <v>311.8</v>
      </c>
      <c r="U122" s="19">
        <v>0</v>
      </c>
      <c r="V122" s="19">
        <v>0</v>
      </c>
      <c r="W122" s="19">
        <v>311.8</v>
      </c>
      <c r="X122" s="19">
        <v>0</v>
      </c>
      <c r="Y122" s="18">
        <f t="shared" si="100"/>
        <v>323</v>
      </c>
      <c r="Z122" s="19">
        <v>0</v>
      </c>
      <c r="AA122" s="19">
        <v>0</v>
      </c>
      <c r="AB122" s="19">
        <v>323</v>
      </c>
      <c r="AC122" s="19">
        <v>0</v>
      </c>
      <c r="AD122" s="18">
        <f t="shared" si="101"/>
        <v>335.9</v>
      </c>
      <c r="AE122" s="19">
        <v>0</v>
      </c>
      <c r="AF122" s="19">
        <v>0</v>
      </c>
      <c r="AG122" s="19">
        <v>335.9</v>
      </c>
      <c r="AH122" s="19">
        <v>0</v>
      </c>
      <c r="AI122" s="18">
        <f t="shared" si="102"/>
        <v>335.9</v>
      </c>
      <c r="AJ122" s="19">
        <v>0</v>
      </c>
      <c r="AK122" s="19">
        <v>0</v>
      </c>
      <c r="AL122" s="19">
        <v>335.9</v>
      </c>
      <c r="AM122" s="19">
        <v>0</v>
      </c>
    </row>
    <row r="123" spans="1:39" s="2" customFormat="1" ht="31.5" outlineLevel="2" x14ac:dyDescent="0.25">
      <c r="A123" s="8" t="s">
        <v>152</v>
      </c>
      <c r="B123" s="25" t="s">
        <v>53</v>
      </c>
      <c r="C123" s="26" t="s">
        <v>32</v>
      </c>
      <c r="D123" s="26" t="s">
        <v>118</v>
      </c>
      <c r="E123" s="20">
        <f t="shared" si="94"/>
        <v>2731</v>
      </c>
      <c r="F123" s="38">
        <f t="shared" si="95"/>
        <v>0</v>
      </c>
      <c r="G123" s="38">
        <f t="shared" si="96"/>
        <v>0</v>
      </c>
      <c r="H123" s="38">
        <f t="shared" si="96"/>
        <v>2731</v>
      </c>
      <c r="I123" s="38">
        <f t="shared" si="96"/>
        <v>0</v>
      </c>
      <c r="J123" s="18">
        <f t="shared" si="97"/>
        <v>332.4</v>
      </c>
      <c r="K123" s="19">
        <v>0</v>
      </c>
      <c r="L123" s="19">
        <v>0</v>
      </c>
      <c r="M123" s="19">
        <v>332.4</v>
      </c>
      <c r="N123" s="19">
        <v>0</v>
      </c>
      <c r="O123" s="18">
        <f t="shared" si="98"/>
        <v>889</v>
      </c>
      <c r="P123" s="19">
        <v>0</v>
      </c>
      <c r="Q123" s="19">
        <v>0</v>
      </c>
      <c r="R123" s="19">
        <f>345.7+543.3</f>
        <v>889</v>
      </c>
      <c r="S123" s="19">
        <v>0</v>
      </c>
      <c r="T123" s="18">
        <f t="shared" si="99"/>
        <v>360.2</v>
      </c>
      <c r="U123" s="19">
        <v>0</v>
      </c>
      <c r="V123" s="19">
        <v>0</v>
      </c>
      <c r="W123" s="19">
        <v>360.2</v>
      </c>
      <c r="X123" s="19">
        <v>0</v>
      </c>
      <c r="Y123" s="18">
        <f t="shared" si="100"/>
        <v>373.2</v>
      </c>
      <c r="Z123" s="19">
        <v>0</v>
      </c>
      <c r="AA123" s="19">
        <v>0</v>
      </c>
      <c r="AB123" s="19">
        <v>373.2</v>
      </c>
      <c r="AC123" s="19">
        <v>0</v>
      </c>
      <c r="AD123" s="18">
        <f t="shared" si="101"/>
        <v>388.1</v>
      </c>
      <c r="AE123" s="19">
        <v>0</v>
      </c>
      <c r="AF123" s="19">
        <v>0</v>
      </c>
      <c r="AG123" s="19">
        <v>388.1</v>
      </c>
      <c r="AH123" s="19">
        <v>0</v>
      </c>
      <c r="AI123" s="18">
        <f t="shared" si="102"/>
        <v>388.1</v>
      </c>
      <c r="AJ123" s="19">
        <v>0</v>
      </c>
      <c r="AK123" s="19">
        <v>0</v>
      </c>
      <c r="AL123" s="19">
        <v>388.1</v>
      </c>
      <c r="AM123" s="19">
        <v>0</v>
      </c>
    </row>
    <row r="124" spans="1:39" s="2" customFormat="1" ht="31.5" outlineLevel="2" x14ac:dyDescent="0.25">
      <c r="A124" s="8" t="s">
        <v>153</v>
      </c>
      <c r="B124" s="25" t="s">
        <v>60</v>
      </c>
      <c r="C124" s="26" t="s">
        <v>32</v>
      </c>
      <c r="D124" s="26" t="s">
        <v>118</v>
      </c>
      <c r="E124" s="20">
        <f t="shared" si="94"/>
        <v>295.8</v>
      </c>
      <c r="F124" s="38">
        <f t="shared" si="95"/>
        <v>0</v>
      </c>
      <c r="G124" s="38">
        <f t="shared" si="96"/>
        <v>0</v>
      </c>
      <c r="H124" s="38">
        <f t="shared" si="96"/>
        <v>295.8</v>
      </c>
      <c r="I124" s="38">
        <f t="shared" si="96"/>
        <v>0</v>
      </c>
      <c r="J124" s="18">
        <f t="shared" si="97"/>
        <v>44.9</v>
      </c>
      <c r="K124" s="19">
        <v>0</v>
      </c>
      <c r="L124" s="19">
        <v>0</v>
      </c>
      <c r="M124" s="19">
        <v>44.9</v>
      </c>
      <c r="N124" s="19">
        <v>0</v>
      </c>
      <c r="O124" s="18">
        <f t="shared" si="98"/>
        <v>46.7</v>
      </c>
      <c r="P124" s="19">
        <v>0</v>
      </c>
      <c r="Q124" s="19">
        <v>0</v>
      </c>
      <c r="R124" s="19">
        <v>46.7</v>
      </c>
      <c r="S124" s="19">
        <v>0</v>
      </c>
      <c r="T124" s="18">
        <f t="shared" si="99"/>
        <v>48.7</v>
      </c>
      <c r="U124" s="19">
        <v>0</v>
      </c>
      <c r="V124" s="19">
        <v>0</v>
      </c>
      <c r="W124" s="19">
        <v>48.7</v>
      </c>
      <c r="X124" s="19">
        <v>0</v>
      </c>
      <c r="Y124" s="18">
        <f t="shared" si="100"/>
        <v>50.5</v>
      </c>
      <c r="Z124" s="19">
        <v>0</v>
      </c>
      <c r="AA124" s="19">
        <v>0</v>
      </c>
      <c r="AB124" s="19">
        <v>50.5</v>
      </c>
      <c r="AC124" s="19">
        <v>0</v>
      </c>
      <c r="AD124" s="18">
        <f t="shared" si="101"/>
        <v>52.5</v>
      </c>
      <c r="AE124" s="19">
        <v>0</v>
      </c>
      <c r="AF124" s="19">
        <v>0</v>
      </c>
      <c r="AG124" s="19">
        <v>52.5</v>
      </c>
      <c r="AH124" s="19">
        <v>0</v>
      </c>
      <c r="AI124" s="18">
        <f t="shared" si="102"/>
        <v>52.5</v>
      </c>
      <c r="AJ124" s="19">
        <v>0</v>
      </c>
      <c r="AK124" s="19">
        <v>0</v>
      </c>
      <c r="AL124" s="19">
        <v>52.5</v>
      </c>
      <c r="AM124" s="19">
        <v>0</v>
      </c>
    </row>
    <row r="125" spans="1:39" s="2" customFormat="1" ht="31.5" outlineLevel="2" x14ac:dyDescent="0.25">
      <c r="A125" s="8" t="s">
        <v>154</v>
      </c>
      <c r="B125" s="25" t="s">
        <v>54</v>
      </c>
      <c r="C125" s="26" t="s">
        <v>32</v>
      </c>
      <c r="D125" s="26" t="s">
        <v>118</v>
      </c>
      <c r="E125" s="20">
        <f t="shared" si="94"/>
        <v>1479.6</v>
      </c>
      <c r="F125" s="38">
        <f t="shared" si="95"/>
        <v>0</v>
      </c>
      <c r="G125" s="38">
        <f t="shared" si="96"/>
        <v>0</v>
      </c>
      <c r="H125" s="38">
        <f t="shared" si="96"/>
        <v>1479.6</v>
      </c>
      <c r="I125" s="38">
        <f t="shared" si="96"/>
        <v>0</v>
      </c>
      <c r="J125" s="18">
        <f t="shared" si="97"/>
        <v>229.7</v>
      </c>
      <c r="K125" s="19">
        <v>0</v>
      </c>
      <c r="L125" s="19">
        <v>0</v>
      </c>
      <c r="M125" s="19">
        <v>229.7</v>
      </c>
      <c r="N125" s="19">
        <v>0</v>
      </c>
      <c r="O125" s="18">
        <f t="shared" si="98"/>
        <v>206.7</v>
      </c>
      <c r="P125" s="19">
        <v>0</v>
      </c>
      <c r="Q125" s="19">
        <v>0</v>
      </c>
      <c r="R125" s="19">
        <f>238.9-32.2</f>
        <v>206.7</v>
      </c>
      <c r="S125" s="19">
        <v>0</v>
      </c>
      <c r="T125" s="18">
        <f t="shared" si="99"/>
        <v>248.9</v>
      </c>
      <c r="U125" s="19">
        <v>0</v>
      </c>
      <c r="V125" s="19">
        <v>0</v>
      </c>
      <c r="W125" s="19">
        <v>248.9</v>
      </c>
      <c r="X125" s="19">
        <v>0</v>
      </c>
      <c r="Y125" s="18">
        <f t="shared" si="100"/>
        <v>257.89999999999998</v>
      </c>
      <c r="Z125" s="19">
        <v>0</v>
      </c>
      <c r="AA125" s="19">
        <v>0</v>
      </c>
      <c r="AB125" s="19">
        <v>257.89999999999998</v>
      </c>
      <c r="AC125" s="19">
        <v>0</v>
      </c>
      <c r="AD125" s="18">
        <f t="shared" si="101"/>
        <v>268.2</v>
      </c>
      <c r="AE125" s="19">
        <v>0</v>
      </c>
      <c r="AF125" s="19">
        <v>0</v>
      </c>
      <c r="AG125" s="19">
        <v>268.2</v>
      </c>
      <c r="AH125" s="19">
        <v>0</v>
      </c>
      <c r="AI125" s="18">
        <f t="shared" si="102"/>
        <v>268.2</v>
      </c>
      <c r="AJ125" s="19">
        <v>0</v>
      </c>
      <c r="AK125" s="19">
        <v>0</v>
      </c>
      <c r="AL125" s="19">
        <v>268.2</v>
      </c>
      <c r="AM125" s="19">
        <v>0</v>
      </c>
    </row>
    <row r="126" spans="1:39" s="2" customFormat="1" ht="31.5" outlineLevel="2" x14ac:dyDescent="0.25">
      <c r="A126" s="8" t="s">
        <v>155</v>
      </c>
      <c r="B126" s="25" t="s">
        <v>55</v>
      </c>
      <c r="C126" s="26" t="s">
        <v>32</v>
      </c>
      <c r="D126" s="26" t="s">
        <v>118</v>
      </c>
      <c r="E126" s="20">
        <f t="shared" si="94"/>
        <v>1235.2</v>
      </c>
      <c r="F126" s="38">
        <f t="shared" si="95"/>
        <v>0</v>
      </c>
      <c r="G126" s="38">
        <f t="shared" si="96"/>
        <v>0</v>
      </c>
      <c r="H126" s="38">
        <f t="shared" si="96"/>
        <v>1235.2</v>
      </c>
      <c r="I126" s="38">
        <f t="shared" si="96"/>
        <v>0</v>
      </c>
      <c r="J126" s="18">
        <f t="shared" si="97"/>
        <v>187.7</v>
      </c>
      <c r="K126" s="19">
        <v>0</v>
      </c>
      <c r="L126" s="19">
        <v>0</v>
      </c>
      <c r="M126" s="19">
        <v>187.7</v>
      </c>
      <c r="N126" s="19">
        <v>0</v>
      </c>
      <c r="O126" s="18">
        <f t="shared" si="98"/>
        <v>195.2</v>
      </c>
      <c r="P126" s="19">
        <v>0</v>
      </c>
      <c r="Q126" s="19">
        <v>0</v>
      </c>
      <c r="R126" s="19">
        <v>195.2</v>
      </c>
      <c r="S126" s="19">
        <v>0</v>
      </c>
      <c r="T126" s="18">
        <f t="shared" si="99"/>
        <v>203.4</v>
      </c>
      <c r="U126" s="19">
        <v>0</v>
      </c>
      <c r="V126" s="19">
        <v>0</v>
      </c>
      <c r="W126" s="19">
        <v>203.4</v>
      </c>
      <c r="X126" s="19">
        <v>0</v>
      </c>
      <c r="Y126" s="18">
        <f t="shared" si="100"/>
        <v>210.7</v>
      </c>
      <c r="Z126" s="19">
        <v>0</v>
      </c>
      <c r="AA126" s="19">
        <v>0</v>
      </c>
      <c r="AB126" s="19">
        <v>210.7</v>
      </c>
      <c r="AC126" s="19">
        <v>0</v>
      </c>
      <c r="AD126" s="18">
        <f t="shared" si="101"/>
        <v>219.1</v>
      </c>
      <c r="AE126" s="19">
        <v>0</v>
      </c>
      <c r="AF126" s="19">
        <v>0</v>
      </c>
      <c r="AG126" s="19">
        <v>219.1</v>
      </c>
      <c r="AH126" s="19">
        <v>0</v>
      </c>
      <c r="AI126" s="18">
        <f t="shared" si="102"/>
        <v>219.1</v>
      </c>
      <c r="AJ126" s="19">
        <v>0</v>
      </c>
      <c r="AK126" s="19">
        <v>0</v>
      </c>
      <c r="AL126" s="19">
        <v>219.1</v>
      </c>
      <c r="AM126" s="19">
        <v>0</v>
      </c>
    </row>
    <row r="127" spans="1:39" s="2" customFormat="1" ht="31.5" outlineLevel="2" x14ac:dyDescent="0.25">
      <c r="A127" s="8" t="s">
        <v>156</v>
      </c>
      <c r="B127" s="25" t="s">
        <v>56</v>
      </c>
      <c r="C127" s="26" t="s">
        <v>32</v>
      </c>
      <c r="D127" s="26" t="s">
        <v>118</v>
      </c>
      <c r="E127" s="20">
        <f t="shared" si="94"/>
        <v>1267.3999999999999</v>
      </c>
      <c r="F127" s="38">
        <f t="shared" si="95"/>
        <v>0</v>
      </c>
      <c r="G127" s="38">
        <f t="shared" si="96"/>
        <v>0</v>
      </c>
      <c r="H127" s="38">
        <f t="shared" si="96"/>
        <v>1267.3999999999999</v>
      </c>
      <c r="I127" s="38">
        <f t="shared" si="96"/>
        <v>0</v>
      </c>
      <c r="J127" s="18">
        <f t="shared" si="97"/>
        <v>192.6</v>
      </c>
      <c r="K127" s="19">
        <v>0</v>
      </c>
      <c r="L127" s="19">
        <v>0</v>
      </c>
      <c r="M127" s="19">
        <v>192.6</v>
      </c>
      <c r="N127" s="19">
        <v>0</v>
      </c>
      <c r="O127" s="18">
        <f t="shared" si="98"/>
        <v>200.3</v>
      </c>
      <c r="P127" s="19">
        <v>0</v>
      </c>
      <c r="Q127" s="19">
        <v>0</v>
      </c>
      <c r="R127" s="19">
        <v>200.3</v>
      </c>
      <c r="S127" s="19">
        <v>0</v>
      </c>
      <c r="T127" s="18">
        <f t="shared" si="99"/>
        <v>208.7</v>
      </c>
      <c r="U127" s="19">
        <v>0</v>
      </c>
      <c r="V127" s="19">
        <v>0</v>
      </c>
      <c r="W127" s="19">
        <v>208.7</v>
      </c>
      <c r="X127" s="19"/>
      <c r="Y127" s="18">
        <f t="shared" si="100"/>
        <v>216.2</v>
      </c>
      <c r="Z127" s="19">
        <v>0</v>
      </c>
      <c r="AA127" s="19">
        <v>0</v>
      </c>
      <c r="AB127" s="19">
        <v>216.2</v>
      </c>
      <c r="AC127" s="19"/>
      <c r="AD127" s="18">
        <f t="shared" si="101"/>
        <v>224.8</v>
      </c>
      <c r="AE127" s="19">
        <v>0</v>
      </c>
      <c r="AF127" s="19">
        <v>0</v>
      </c>
      <c r="AG127" s="19">
        <v>224.8</v>
      </c>
      <c r="AH127" s="19"/>
      <c r="AI127" s="18">
        <f t="shared" si="102"/>
        <v>224.8</v>
      </c>
      <c r="AJ127" s="19">
        <v>0</v>
      </c>
      <c r="AK127" s="19">
        <v>0</v>
      </c>
      <c r="AL127" s="19">
        <v>224.8</v>
      </c>
      <c r="AM127" s="19"/>
    </row>
    <row r="128" spans="1:39" s="2" customFormat="1" ht="31.5" outlineLevel="2" x14ac:dyDescent="0.25">
      <c r="A128" s="8" t="s">
        <v>157</v>
      </c>
      <c r="B128" s="25" t="s">
        <v>57</v>
      </c>
      <c r="C128" s="26" t="s">
        <v>32</v>
      </c>
      <c r="D128" s="26" t="s">
        <v>118</v>
      </c>
      <c r="E128" s="20">
        <f t="shared" si="94"/>
        <v>827.1</v>
      </c>
      <c r="F128" s="38">
        <f t="shared" si="95"/>
        <v>0</v>
      </c>
      <c r="G128" s="38">
        <f t="shared" si="96"/>
        <v>0</v>
      </c>
      <c r="H128" s="38">
        <f t="shared" si="96"/>
        <v>827.1</v>
      </c>
      <c r="I128" s="38">
        <f t="shared" si="96"/>
        <v>0</v>
      </c>
      <c r="J128" s="18">
        <f t="shared" si="97"/>
        <v>112.3</v>
      </c>
      <c r="K128" s="19">
        <v>0</v>
      </c>
      <c r="L128" s="19">
        <v>0</v>
      </c>
      <c r="M128" s="19">
        <v>112.3</v>
      </c>
      <c r="N128" s="19">
        <v>0</v>
      </c>
      <c r="O128" s="18">
        <f t="shared" si="98"/>
        <v>116.8</v>
      </c>
      <c r="P128" s="19">
        <v>0</v>
      </c>
      <c r="Q128" s="19">
        <v>0</v>
      </c>
      <c r="R128" s="19">
        <v>116.8</v>
      </c>
      <c r="S128" s="19">
        <v>0</v>
      </c>
      <c r="T128" s="18">
        <f t="shared" si="99"/>
        <v>209.7</v>
      </c>
      <c r="U128" s="19">
        <v>0</v>
      </c>
      <c r="V128" s="19">
        <v>0</v>
      </c>
      <c r="W128" s="19">
        <f>88+121.7</f>
        <v>209.7</v>
      </c>
      <c r="X128" s="19">
        <v>0</v>
      </c>
      <c r="Y128" s="18">
        <f t="shared" si="100"/>
        <v>126.1</v>
      </c>
      <c r="Z128" s="19">
        <v>0</v>
      </c>
      <c r="AA128" s="19">
        <v>0</v>
      </c>
      <c r="AB128" s="19">
        <v>126.1</v>
      </c>
      <c r="AC128" s="19">
        <v>0</v>
      </c>
      <c r="AD128" s="18">
        <f t="shared" si="101"/>
        <v>131.1</v>
      </c>
      <c r="AE128" s="19">
        <v>0</v>
      </c>
      <c r="AF128" s="19">
        <v>0</v>
      </c>
      <c r="AG128" s="19">
        <v>131.1</v>
      </c>
      <c r="AH128" s="19">
        <v>0</v>
      </c>
      <c r="AI128" s="18">
        <f t="shared" si="102"/>
        <v>131.1</v>
      </c>
      <c r="AJ128" s="19">
        <v>0</v>
      </c>
      <c r="AK128" s="19">
        <v>0</v>
      </c>
      <c r="AL128" s="19">
        <v>131.1</v>
      </c>
      <c r="AM128" s="19">
        <v>0</v>
      </c>
    </row>
    <row r="129" spans="1:39" s="2" customFormat="1" ht="31.5" outlineLevel="2" x14ac:dyDescent="0.25">
      <c r="A129" s="8" t="s">
        <v>158</v>
      </c>
      <c r="B129" s="25" t="s">
        <v>58</v>
      </c>
      <c r="C129" s="26" t="s">
        <v>32</v>
      </c>
      <c r="D129" s="26" t="s">
        <v>118</v>
      </c>
      <c r="E129" s="20">
        <f t="shared" si="94"/>
        <v>1554.2</v>
      </c>
      <c r="F129" s="38">
        <f t="shared" si="95"/>
        <v>0</v>
      </c>
      <c r="G129" s="38">
        <f t="shared" si="96"/>
        <v>0</v>
      </c>
      <c r="H129" s="38">
        <f t="shared" si="96"/>
        <v>1554.2</v>
      </c>
      <c r="I129" s="38">
        <f t="shared" si="96"/>
        <v>0</v>
      </c>
      <c r="J129" s="18">
        <f t="shared" si="97"/>
        <v>236.2</v>
      </c>
      <c r="K129" s="19">
        <v>0</v>
      </c>
      <c r="L129" s="19">
        <v>0</v>
      </c>
      <c r="M129" s="19">
        <v>236.2</v>
      </c>
      <c r="N129" s="19">
        <v>0</v>
      </c>
      <c r="O129" s="18">
        <f t="shared" si="98"/>
        <v>245.6</v>
      </c>
      <c r="P129" s="19">
        <v>0</v>
      </c>
      <c r="Q129" s="19">
        <v>0</v>
      </c>
      <c r="R129" s="19">
        <v>245.6</v>
      </c>
      <c r="S129" s="19">
        <v>0</v>
      </c>
      <c r="T129" s="18">
        <f t="shared" si="99"/>
        <v>255.9</v>
      </c>
      <c r="U129" s="19">
        <v>0</v>
      </c>
      <c r="V129" s="19">
        <v>0</v>
      </c>
      <c r="W129" s="19">
        <v>255.9</v>
      </c>
      <c r="X129" s="19">
        <v>0</v>
      </c>
      <c r="Y129" s="18">
        <f t="shared" si="100"/>
        <v>265.10000000000002</v>
      </c>
      <c r="Z129" s="19">
        <v>0</v>
      </c>
      <c r="AA129" s="19">
        <v>0</v>
      </c>
      <c r="AB129" s="19">
        <v>265.10000000000002</v>
      </c>
      <c r="AC129" s="19">
        <v>0</v>
      </c>
      <c r="AD129" s="18">
        <f t="shared" si="101"/>
        <v>275.7</v>
      </c>
      <c r="AE129" s="19">
        <v>0</v>
      </c>
      <c r="AF129" s="19">
        <v>0</v>
      </c>
      <c r="AG129" s="19">
        <v>275.7</v>
      </c>
      <c r="AH129" s="19">
        <v>0</v>
      </c>
      <c r="AI129" s="18">
        <f t="shared" si="102"/>
        <v>275.7</v>
      </c>
      <c r="AJ129" s="19">
        <v>0</v>
      </c>
      <c r="AK129" s="19">
        <v>0</v>
      </c>
      <c r="AL129" s="19">
        <v>275.7</v>
      </c>
      <c r="AM129" s="19">
        <v>0</v>
      </c>
    </row>
    <row r="130" spans="1:39" s="5" customFormat="1" ht="40.5" customHeight="1" outlineLevel="1" x14ac:dyDescent="0.25">
      <c r="A130" s="138" t="s">
        <v>159</v>
      </c>
      <c r="B130" s="173" t="s">
        <v>12</v>
      </c>
      <c r="C130" s="174"/>
      <c r="D130" s="174"/>
      <c r="E130" s="18">
        <f>SUM(E131:E133)</f>
        <v>2352.1000000000004</v>
      </c>
      <c r="F130" s="18">
        <f t="shared" ref="F130:AM130" si="103">SUM(F131:F133)</f>
        <v>0</v>
      </c>
      <c r="G130" s="18">
        <f t="shared" si="103"/>
        <v>0</v>
      </c>
      <c r="H130" s="18">
        <f t="shared" si="103"/>
        <v>2352.1000000000004</v>
      </c>
      <c r="I130" s="18">
        <f t="shared" si="103"/>
        <v>0</v>
      </c>
      <c r="J130" s="18">
        <f t="shared" si="103"/>
        <v>304.39999999999998</v>
      </c>
      <c r="K130" s="18">
        <f t="shared" si="103"/>
        <v>0</v>
      </c>
      <c r="L130" s="18">
        <f t="shared" si="103"/>
        <v>0</v>
      </c>
      <c r="M130" s="18">
        <f t="shared" si="103"/>
        <v>304.39999999999998</v>
      </c>
      <c r="N130" s="18">
        <f t="shared" si="103"/>
        <v>0</v>
      </c>
      <c r="O130" s="18">
        <f t="shared" si="103"/>
        <v>391</v>
      </c>
      <c r="P130" s="18">
        <f t="shared" si="103"/>
        <v>0</v>
      </c>
      <c r="Q130" s="18">
        <f t="shared" si="103"/>
        <v>0</v>
      </c>
      <c r="R130" s="18">
        <f>SUM(R131:R133)</f>
        <v>391</v>
      </c>
      <c r="S130" s="18">
        <f t="shared" si="103"/>
        <v>0</v>
      </c>
      <c r="T130" s="18">
        <f t="shared" si="103"/>
        <v>395.2</v>
      </c>
      <c r="U130" s="18">
        <f t="shared" si="103"/>
        <v>0</v>
      </c>
      <c r="V130" s="18">
        <f t="shared" si="103"/>
        <v>0</v>
      </c>
      <c r="W130" s="18">
        <f t="shared" si="103"/>
        <v>395.2</v>
      </c>
      <c r="X130" s="18">
        <f t="shared" si="103"/>
        <v>0</v>
      </c>
      <c r="Y130" s="18">
        <f t="shared" si="103"/>
        <v>409.5</v>
      </c>
      <c r="Z130" s="18">
        <f t="shared" si="103"/>
        <v>0</v>
      </c>
      <c r="AA130" s="18">
        <f t="shared" si="103"/>
        <v>0</v>
      </c>
      <c r="AB130" s="18">
        <f t="shared" si="103"/>
        <v>409.5</v>
      </c>
      <c r="AC130" s="18">
        <f t="shared" si="103"/>
        <v>0</v>
      </c>
      <c r="AD130" s="18">
        <f t="shared" si="103"/>
        <v>426</v>
      </c>
      <c r="AE130" s="18">
        <f t="shared" si="103"/>
        <v>0</v>
      </c>
      <c r="AF130" s="18">
        <f t="shared" si="103"/>
        <v>0</v>
      </c>
      <c r="AG130" s="18">
        <f t="shared" si="103"/>
        <v>426</v>
      </c>
      <c r="AH130" s="18">
        <f t="shared" si="103"/>
        <v>0</v>
      </c>
      <c r="AI130" s="18">
        <f t="shared" si="103"/>
        <v>426</v>
      </c>
      <c r="AJ130" s="18">
        <f t="shared" si="103"/>
        <v>0</v>
      </c>
      <c r="AK130" s="18">
        <f t="shared" si="103"/>
        <v>0</v>
      </c>
      <c r="AL130" s="18">
        <f t="shared" si="103"/>
        <v>426</v>
      </c>
      <c r="AM130" s="18">
        <f t="shared" si="103"/>
        <v>0</v>
      </c>
    </row>
    <row r="131" spans="1:39" s="2" customFormat="1" ht="31.5" outlineLevel="2" x14ac:dyDescent="0.25">
      <c r="A131" s="8" t="s">
        <v>160</v>
      </c>
      <c r="B131" s="25" t="s">
        <v>59</v>
      </c>
      <c r="C131" s="26" t="s">
        <v>32</v>
      </c>
      <c r="D131" s="26" t="s">
        <v>118</v>
      </c>
      <c r="E131" s="20">
        <f>SUM(F131:I131)</f>
        <v>341.70000000000005</v>
      </c>
      <c r="F131" s="38">
        <f>K131+P131+U131</f>
        <v>0</v>
      </c>
      <c r="G131" s="38">
        <f t="shared" si="96"/>
        <v>0</v>
      </c>
      <c r="H131" s="38">
        <f t="shared" si="96"/>
        <v>341.70000000000005</v>
      </c>
      <c r="I131" s="38">
        <f t="shared" si="96"/>
        <v>0</v>
      </c>
      <c r="J131" s="18">
        <f>SUM(K131:N131)</f>
        <v>50.1</v>
      </c>
      <c r="K131" s="19">
        <v>0</v>
      </c>
      <c r="L131" s="19">
        <v>0</v>
      </c>
      <c r="M131" s="19">
        <v>50.1</v>
      </c>
      <c r="N131" s="19">
        <v>0</v>
      </c>
      <c r="O131" s="18">
        <f>SUM(P131:S131)</f>
        <v>63.8</v>
      </c>
      <c r="P131" s="19">
        <v>0</v>
      </c>
      <c r="Q131" s="19">
        <v>0</v>
      </c>
      <c r="R131" s="19">
        <f>52.1+11.7</f>
        <v>63.8</v>
      </c>
      <c r="S131" s="19">
        <v>0</v>
      </c>
      <c r="T131" s="18">
        <f>SUM(U131:X131)</f>
        <v>54.3</v>
      </c>
      <c r="U131" s="19">
        <v>0</v>
      </c>
      <c r="V131" s="19">
        <v>0</v>
      </c>
      <c r="W131" s="19">
        <v>54.3</v>
      </c>
      <c r="X131" s="19">
        <v>0</v>
      </c>
      <c r="Y131" s="18">
        <f>SUM(Z131:AC131)</f>
        <v>56.3</v>
      </c>
      <c r="Z131" s="19">
        <v>0</v>
      </c>
      <c r="AA131" s="19">
        <v>0</v>
      </c>
      <c r="AB131" s="19">
        <v>56.3</v>
      </c>
      <c r="AC131" s="19">
        <v>0</v>
      </c>
      <c r="AD131" s="18">
        <f>SUM(AE131:AH131)</f>
        <v>58.6</v>
      </c>
      <c r="AE131" s="19">
        <v>0</v>
      </c>
      <c r="AF131" s="19">
        <v>0</v>
      </c>
      <c r="AG131" s="19">
        <v>58.6</v>
      </c>
      <c r="AH131" s="19">
        <v>0</v>
      </c>
      <c r="AI131" s="18">
        <f>SUM(AJ131:AM131)</f>
        <v>58.6</v>
      </c>
      <c r="AJ131" s="19">
        <v>0</v>
      </c>
      <c r="AK131" s="19">
        <v>0</v>
      </c>
      <c r="AL131" s="19">
        <v>58.6</v>
      </c>
      <c r="AM131" s="19">
        <v>0</v>
      </c>
    </row>
    <row r="132" spans="1:39" s="2" customFormat="1" ht="31.5" outlineLevel="2" x14ac:dyDescent="0.25">
      <c r="A132" s="8" t="s">
        <v>161</v>
      </c>
      <c r="B132" s="25" t="s">
        <v>60</v>
      </c>
      <c r="C132" s="26" t="s">
        <v>32</v>
      </c>
      <c r="D132" s="26" t="s">
        <v>118</v>
      </c>
      <c r="E132" s="20">
        <f>SUM(F132:I132)</f>
        <v>727.7</v>
      </c>
      <c r="F132" s="38">
        <f>K132+P132+U132</f>
        <v>0</v>
      </c>
      <c r="G132" s="38">
        <f t="shared" si="96"/>
        <v>0</v>
      </c>
      <c r="H132" s="38">
        <f t="shared" si="96"/>
        <v>727.7</v>
      </c>
      <c r="I132" s="38">
        <f t="shared" si="96"/>
        <v>0</v>
      </c>
      <c r="J132" s="18">
        <f>SUM(K132:N132)</f>
        <v>110.6</v>
      </c>
      <c r="K132" s="19">
        <v>0</v>
      </c>
      <c r="L132" s="19">
        <v>0</v>
      </c>
      <c r="M132" s="19">
        <v>110.6</v>
      </c>
      <c r="N132" s="19">
        <v>0</v>
      </c>
      <c r="O132" s="18">
        <f>SUM(P132:S132)</f>
        <v>115</v>
      </c>
      <c r="P132" s="19">
        <v>0</v>
      </c>
      <c r="Q132" s="19">
        <v>0</v>
      </c>
      <c r="R132" s="19">
        <v>115</v>
      </c>
      <c r="S132" s="19">
        <v>0</v>
      </c>
      <c r="T132" s="18">
        <f>SUM(U132:X132)</f>
        <v>119.8</v>
      </c>
      <c r="U132" s="19">
        <v>0</v>
      </c>
      <c r="V132" s="19">
        <v>0</v>
      </c>
      <c r="W132" s="19">
        <v>119.8</v>
      </c>
      <c r="X132" s="19">
        <v>0</v>
      </c>
      <c r="Y132" s="18">
        <f>SUM(Z132:AC132)</f>
        <v>124.1</v>
      </c>
      <c r="Z132" s="19">
        <v>0</v>
      </c>
      <c r="AA132" s="19">
        <v>0</v>
      </c>
      <c r="AB132" s="19">
        <v>124.1</v>
      </c>
      <c r="AC132" s="19">
        <v>0</v>
      </c>
      <c r="AD132" s="18">
        <f>SUM(AE132:AH132)</f>
        <v>129.1</v>
      </c>
      <c r="AE132" s="19">
        <v>0</v>
      </c>
      <c r="AF132" s="19">
        <v>0</v>
      </c>
      <c r="AG132" s="19">
        <v>129.1</v>
      </c>
      <c r="AH132" s="19">
        <v>0</v>
      </c>
      <c r="AI132" s="18">
        <f>SUM(AJ132:AM132)</f>
        <v>129.1</v>
      </c>
      <c r="AJ132" s="19">
        <v>0</v>
      </c>
      <c r="AK132" s="19">
        <v>0</v>
      </c>
      <c r="AL132" s="19">
        <v>129.1</v>
      </c>
      <c r="AM132" s="19">
        <v>0</v>
      </c>
    </row>
    <row r="133" spans="1:39" s="2" customFormat="1" ht="31.5" outlineLevel="2" x14ac:dyDescent="0.25">
      <c r="A133" s="8" t="s">
        <v>162</v>
      </c>
      <c r="B133" s="25" t="s">
        <v>61</v>
      </c>
      <c r="C133" s="26" t="s">
        <v>32</v>
      </c>
      <c r="D133" s="26" t="s">
        <v>118</v>
      </c>
      <c r="E133" s="20">
        <f>SUM(F133:I133)</f>
        <v>1282.7</v>
      </c>
      <c r="F133" s="38">
        <f>K133+P133+U133</f>
        <v>0</v>
      </c>
      <c r="G133" s="38">
        <f t="shared" si="96"/>
        <v>0</v>
      </c>
      <c r="H133" s="38">
        <f t="shared" si="96"/>
        <v>1282.7</v>
      </c>
      <c r="I133" s="38">
        <f t="shared" si="96"/>
        <v>0</v>
      </c>
      <c r="J133" s="18">
        <f>SUM(K133:N133)</f>
        <v>143.69999999999999</v>
      </c>
      <c r="K133" s="19">
        <v>0</v>
      </c>
      <c r="L133" s="19">
        <v>0</v>
      </c>
      <c r="M133" s="19">
        <f>204-60.3</f>
        <v>143.69999999999999</v>
      </c>
      <c r="N133" s="19">
        <v>0</v>
      </c>
      <c r="O133" s="18">
        <f>SUM(P133:S133)</f>
        <v>212.2</v>
      </c>
      <c r="P133" s="19">
        <v>0</v>
      </c>
      <c r="Q133" s="19">
        <v>0</v>
      </c>
      <c r="R133" s="19">
        <v>212.2</v>
      </c>
      <c r="S133" s="19">
        <v>0</v>
      </c>
      <c r="T133" s="18">
        <f>SUM(U133:X133)</f>
        <v>221.1</v>
      </c>
      <c r="U133" s="19">
        <v>0</v>
      </c>
      <c r="V133" s="19">
        <v>0</v>
      </c>
      <c r="W133" s="19">
        <v>221.1</v>
      </c>
      <c r="X133" s="19">
        <v>0</v>
      </c>
      <c r="Y133" s="18">
        <f>SUM(Z133:AC133)</f>
        <v>229.1</v>
      </c>
      <c r="Z133" s="19">
        <v>0</v>
      </c>
      <c r="AA133" s="19">
        <v>0</v>
      </c>
      <c r="AB133" s="19">
        <v>229.1</v>
      </c>
      <c r="AC133" s="19">
        <v>0</v>
      </c>
      <c r="AD133" s="18">
        <f>SUM(AE133:AH133)</f>
        <v>238.3</v>
      </c>
      <c r="AE133" s="19">
        <v>0</v>
      </c>
      <c r="AF133" s="19">
        <v>0</v>
      </c>
      <c r="AG133" s="19">
        <v>238.3</v>
      </c>
      <c r="AH133" s="19">
        <v>0</v>
      </c>
      <c r="AI133" s="18">
        <f>SUM(AJ133:AM133)</f>
        <v>238.3</v>
      </c>
      <c r="AJ133" s="19">
        <v>0</v>
      </c>
      <c r="AK133" s="19">
        <v>0</v>
      </c>
      <c r="AL133" s="19">
        <v>238.3</v>
      </c>
      <c r="AM133" s="19">
        <v>0</v>
      </c>
    </row>
    <row r="134" spans="1:39" s="5" customFormat="1" ht="83.25" customHeight="1" outlineLevel="1" x14ac:dyDescent="0.25">
      <c r="A134" s="138" t="s">
        <v>163</v>
      </c>
      <c r="B134" s="173" t="s">
        <v>413</v>
      </c>
      <c r="C134" s="174"/>
      <c r="D134" s="174"/>
      <c r="E134" s="18">
        <f>SUM(E135:E150)</f>
        <v>97117.90398625152</v>
      </c>
      <c r="F134" s="18">
        <f t="shared" ref="F134:AM134" si="104">SUM(F135:F150)</f>
        <v>0</v>
      </c>
      <c r="G134" s="18">
        <f t="shared" si="104"/>
        <v>0</v>
      </c>
      <c r="H134" s="18">
        <f t="shared" si="104"/>
        <v>97117.90398625152</v>
      </c>
      <c r="I134" s="18">
        <f t="shared" si="104"/>
        <v>0</v>
      </c>
      <c r="J134" s="18">
        <f t="shared" si="104"/>
        <v>16642.2</v>
      </c>
      <c r="K134" s="18">
        <f t="shared" si="104"/>
        <v>0</v>
      </c>
      <c r="L134" s="18">
        <f t="shared" si="104"/>
        <v>0</v>
      </c>
      <c r="M134" s="18">
        <f t="shared" si="104"/>
        <v>16642.2</v>
      </c>
      <c r="N134" s="18">
        <f t="shared" si="104"/>
        <v>0</v>
      </c>
      <c r="O134" s="18">
        <f t="shared" si="104"/>
        <v>17798.903986251527</v>
      </c>
      <c r="P134" s="18">
        <f t="shared" si="104"/>
        <v>0</v>
      </c>
      <c r="Q134" s="18">
        <f t="shared" si="104"/>
        <v>0</v>
      </c>
      <c r="R134" s="18">
        <f>SUM(R135:R150)</f>
        <v>17798.903986251527</v>
      </c>
      <c r="S134" s="18">
        <f t="shared" si="104"/>
        <v>0</v>
      </c>
      <c r="T134" s="18">
        <f t="shared" si="104"/>
        <v>18156.5</v>
      </c>
      <c r="U134" s="18">
        <f t="shared" si="104"/>
        <v>0</v>
      </c>
      <c r="V134" s="18">
        <f t="shared" si="104"/>
        <v>0</v>
      </c>
      <c r="W134" s="18">
        <f t="shared" si="104"/>
        <v>18156.5</v>
      </c>
      <c r="X134" s="18">
        <f t="shared" si="104"/>
        <v>0</v>
      </c>
      <c r="Y134" s="18">
        <f t="shared" si="104"/>
        <v>14454.700000000003</v>
      </c>
      <c r="Z134" s="18">
        <f t="shared" si="104"/>
        <v>0</v>
      </c>
      <c r="AA134" s="18">
        <f t="shared" si="104"/>
        <v>0</v>
      </c>
      <c r="AB134" s="18">
        <f t="shared" si="104"/>
        <v>14454.700000000003</v>
      </c>
      <c r="AC134" s="18">
        <f t="shared" si="104"/>
        <v>0</v>
      </c>
      <c r="AD134" s="18">
        <f t="shared" si="104"/>
        <v>15032.8</v>
      </c>
      <c r="AE134" s="18">
        <f t="shared" si="104"/>
        <v>0</v>
      </c>
      <c r="AF134" s="18">
        <f t="shared" si="104"/>
        <v>0</v>
      </c>
      <c r="AG134" s="18">
        <f t="shared" si="104"/>
        <v>15032.8</v>
      </c>
      <c r="AH134" s="18">
        <f t="shared" si="104"/>
        <v>0</v>
      </c>
      <c r="AI134" s="18">
        <f t="shared" si="104"/>
        <v>15032.8</v>
      </c>
      <c r="AJ134" s="18">
        <f t="shared" si="104"/>
        <v>0</v>
      </c>
      <c r="AK134" s="18">
        <f t="shared" si="104"/>
        <v>0</v>
      </c>
      <c r="AL134" s="18">
        <f t="shared" si="104"/>
        <v>15032.8</v>
      </c>
      <c r="AM134" s="18">
        <f t="shared" si="104"/>
        <v>0</v>
      </c>
    </row>
    <row r="135" spans="1:39" s="2" customFormat="1" ht="31.5" outlineLevel="2" x14ac:dyDescent="0.25">
      <c r="A135" s="8" t="s">
        <v>164</v>
      </c>
      <c r="B135" s="17" t="s">
        <v>59</v>
      </c>
      <c r="C135" s="26" t="s">
        <v>32</v>
      </c>
      <c r="D135" s="26" t="s">
        <v>118</v>
      </c>
      <c r="E135" s="20">
        <f t="shared" ref="E135:E149" si="105">SUM(F135:I135)</f>
        <v>5233.9501575955792</v>
      </c>
      <c r="F135" s="38">
        <f t="shared" ref="F135:F149" si="106">K135+P135+U135</f>
        <v>0</v>
      </c>
      <c r="G135" s="38">
        <f t="shared" si="96"/>
        <v>0</v>
      </c>
      <c r="H135" s="38">
        <f t="shared" si="96"/>
        <v>5233.9501575955792</v>
      </c>
      <c r="I135" s="38">
        <f t="shared" si="96"/>
        <v>0</v>
      </c>
      <c r="J135" s="18">
        <f t="shared" ref="J135:J149" si="107">SUM(K135:N135)</f>
        <v>998.2</v>
      </c>
      <c r="K135" s="19">
        <v>0</v>
      </c>
      <c r="L135" s="19">
        <v>0</v>
      </c>
      <c r="M135" s="19">
        <v>998.2</v>
      </c>
      <c r="N135" s="38">
        <v>0</v>
      </c>
      <c r="O135" s="18">
        <f t="shared" ref="O135:O150" si="108">SUM(P135:S135)</f>
        <v>962.59999999999991</v>
      </c>
      <c r="P135" s="19">
        <v>0</v>
      </c>
      <c r="Q135" s="19">
        <v>0</v>
      </c>
      <c r="R135" s="19">
        <f>711.9+250.7</f>
        <v>962.59999999999991</v>
      </c>
      <c r="S135" s="19">
        <v>0</v>
      </c>
      <c r="T135" s="18">
        <f>SUM(U135:X135)</f>
        <v>948.1</v>
      </c>
      <c r="U135" s="19">
        <v>0</v>
      </c>
      <c r="V135" s="19">
        <v>0</v>
      </c>
      <c r="W135" s="19">
        <f>219.5+728.6</f>
        <v>948.1</v>
      </c>
      <c r="X135" s="19">
        <v>0</v>
      </c>
      <c r="Y135" s="18">
        <f t="shared" ref="Y135:Y149" si="109">SUM(Z135:AC135)</f>
        <v>754.9</v>
      </c>
      <c r="Z135" s="19">
        <v>0</v>
      </c>
      <c r="AA135" s="19">
        <v>0</v>
      </c>
      <c r="AB135" s="19">
        <v>754.9</v>
      </c>
      <c r="AC135" s="19">
        <v>0</v>
      </c>
      <c r="AD135" s="18">
        <f t="shared" ref="AD135:AD149" si="110">SUM(AE135:AH135)</f>
        <v>785.07507879778973</v>
      </c>
      <c r="AE135" s="19">
        <v>0</v>
      </c>
      <c r="AF135" s="19">
        <v>0</v>
      </c>
      <c r="AG135" s="19">
        <v>785.07507879778973</v>
      </c>
      <c r="AH135" s="19">
        <v>0</v>
      </c>
      <c r="AI135" s="18">
        <f t="shared" ref="AI135:AI150" si="111">SUM(AJ135:AM135)</f>
        <v>785.07507879778973</v>
      </c>
      <c r="AJ135" s="19">
        <v>0</v>
      </c>
      <c r="AK135" s="19">
        <v>0</v>
      </c>
      <c r="AL135" s="19">
        <v>785.07507879778973</v>
      </c>
      <c r="AM135" s="19">
        <v>0</v>
      </c>
    </row>
    <row r="136" spans="1:39" s="2" customFormat="1" ht="31.5" outlineLevel="2" x14ac:dyDescent="0.25">
      <c r="A136" s="8" t="s">
        <v>165</v>
      </c>
      <c r="B136" s="17" t="s">
        <v>49</v>
      </c>
      <c r="C136" s="26" t="s">
        <v>32</v>
      </c>
      <c r="D136" s="26" t="s">
        <v>118</v>
      </c>
      <c r="E136" s="20">
        <f t="shared" si="105"/>
        <v>5270.5142464490818</v>
      </c>
      <c r="F136" s="38">
        <f t="shared" si="106"/>
        <v>0</v>
      </c>
      <c r="G136" s="38">
        <f t="shared" si="96"/>
        <v>0</v>
      </c>
      <c r="H136" s="38">
        <f t="shared" si="96"/>
        <v>5270.5142464490818</v>
      </c>
      <c r="I136" s="38">
        <f t="shared" si="96"/>
        <v>0</v>
      </c>
      <c r="J136" s="18">
        <f t="shared" si="107"/>
        <v>992.09999999999991</v>
      </c>
      <c r="K136" s="19">
        <v>0</v>
      </c>
      <c r="L136" s="19">
        <v>0</v>
      </c>
      <c r="M136" s="19">
        <f>1008.3-16.2</f>
        <v>992.09999999999991</v>
      </c>
      <c r="N136" s="38">
        <v>0</v>
      </c>
      <c r="O136" s="18">
        <f t="shared" si="108"/>
        <v>972.30398625152702</v>
      </c>
      <c r="P136" s="19">
        <v>0</v>
      </c>
      <c r="Q136" s="19">
        <v>0</v>
      </c>
      <c r="R136" s="19">
        <f>719.103986251527+253.2</f>
        <v>972.30398625152702</v>
      </c>
      <c r="S136" s="19">
        <v>0</v>
      </c>
      <c r="T136" s="18">
        <f t="shared" ref="T136:T150" si="112">SUM(U136:X136)</f>
        <v>957.6</v>
      </c>
      <c r="U136" s="19">
        <v>0</v>
      </c>
      <c r="V136" s="19">
        <v>0</v>
      </c>
      <c r="W136" s="19">
        <f>221.6+736</f>
        <v>957.6</v>
      </c>
      <c r="X136" s="19">
        <v>0</v>
      </c>
      <c r="Y136" s="18">
        <f t="shared" si="109"/>
        <v>762.5</v>
      </c>
      <c r="Z136" s="19">
        <v>0</v>
      </c>
      <c r="AA136" s="19">
        <v>0</v>
      </c>
      <c r="AB136" s="19">
        <v>762.5</v>
      </c>
      <c r="AC136" s="19">
        <v>0</v>
      </c>
      <c r="AD136" s="18">
        <f t="shared" si="110"/>
        <v>793.0051300987775</v>
      </c>
      <c r="AE136" s="19">
        <v>0</v>
      </c>
      <c r="AF136" s="19">
        <v>0</v>
      </c>
      <c r="AG136" s="19">
        <v>793.0051300987775</v>
      </c>
      <c r="AH136" s="19">
        <v>0</v>
      </c>
      <c r="AI136" s="18">
        <f t="shared" si="111"/>
        <v>793.0051300987775</v>
      </c>
      <c r="AJ136" s="19">
        <v>0</v>
      </c>
      <c r="AK136" s="19">
        <v>0</v>
      </c>
      <c r="AL136" s="19">
        <v>793.0051300987775</v>
      </c>
      <c r="AM136" s="19">
        <v>0</v>
      </c>
    </row>
    <row r="137" spans="1:39" s="2" customFormat="1" ht="31.5" outlineLevel="2" x14ac:dyDescent="0.25">
      <c r="A137" s="8" t="s">
        <v>166</v>
      </c>
      <c r="B137" s="17" t="s">
        <v>65</v>
      </c>
      <c r="C137" s="26" t="s">
        <v>32</v>
      </c>
      <c r="D137" s="26" t="s">
        <v>118</v>
      </c>
      <c r="E137" s="20">
        <f t="shared" si="105"/>
        <v>1041.5932319622298</v>
      </c>
      <c r="F137" s="38">
        <f t="shared" si="106"/>
        <v>0</v>
      </c>
      <c r="G137" s="38">
        <f t="shared" ref="G137:I150" si="113">L137+Q137+V137+AA137+AF137+AK137</f>
        <v>0</v>
      </c>
      <c r="H137" s="38">
        <f t="shared" si="113"/>
        <v>1041.5932319622298</v>
      </c>
      <c r="I137" s="38">
        <f t="shared" si="113"/>
        <v>0</v>
      </c>
      <c r="J137" s="18">
        <f t="shared" si="107"/>
        <v>0</v>
      </c>
      <c r="K137" s="19">
        <v>0</v>
      </c>
      <c r="L137" s="19">
        <v>0</v>
      </c>
      <c r="M137" s="19">
        <v>0</v>
      </c>
      <c r="N137" s="38">
        <v>0</v>
      </c>
      <c r="O137" s="18">
        <f t="shared" si="108"/>
        <v>0</v>
      </c>
      <c r="P137" s="19">
        <v>0</v>
      </c>
      <c r="Q137" s="19">
        <v>0</v>
      </c>
      <c r="R137" s="19">
        <f>226.5+79.8-306.3</f>
        <v>0</v>
      </c>
      <c r="S137" s="19">
        <v>0</v>
      </c>
      <c r="T137" s="18">
        <f t="shared" si="112"/>
        <v>301.8</v>
      </c>
      <c r="U137" s="19">
        <v>0</v>
      </c>
      <c r="V137" s="19">
        <v>0</v>
      </c>
      <c r="W137" s="19">
        <f>70+231.8</f>
        <v>301.8</v>
      </c>
      <c r="X137" s="19">
        <v>0</v>
      </c>
      <c r="Y137" s="18">
        <f t="shared" si="109"/>
        <v>240.20000000000002</v>
      </c>
      <c r="Z137" s="19">
        <v>0</v>
      </c>
      <c r="AA137" s="19">
        <v>0</v>
      </c>
      <c r="AB137" s="19">
        <v>240.20000000000002</v>
      </c>
      <c r="AC137" s="19">
        <v>0</v>
      </c>
      <c r="AD137" s="18">
        <f t="shared" si="110"/>
        <v>249.79661598111491</v>
      </c>
      <c r="AE137" s="19">
        <v>0</v>
      </c>
      <c r="AF137" s="19">
        <v>0</v>
      </c>
      <c r="AG137" s="19">
        <v>249.79661598111491</v>
      </c>
      <c r="AH137" s="19">
        <v>0</v>
      </c>
      <c r="AI137" s="18">
        <f t="shared" si="111"/>
        <v>249.79661598111491</v>
      </c>
      <c r="AJ137" s="19">
        <v>0</v>
      </c>
      <c r="AK137" s="19">
        <v>0</v>
      </c>
      <c r="AL137" s="19">
        <v>249.79661598111491</v>
      </c>
      <c r="AM137" s="19">
        <v>0</v>
      </c>
    </row>
    <row r="138" spans="1:39" s="2" customFormat="1" ht="31.5" outlineLevel="2" x14ac:dyDescent="0.25">
      <c r="A138" s="8" t="s">
        <v>167</v>
      </c>
      <c r="B138" s="17" t="s">
        <v>51</v>
      </c>
      <c r="C138" s="26" t="s">
        <v>32</v>
      </c>
      <c r="D138" s="26" t="s">
        <v>118</v>
      </c>
      <c r="E138" s="20">
        <f t="shared" si="105"/>
        <v>3755.6637873053137</v>
      </c>
      <c r="F138" s="38">
        <f t="shared" si="106"/>
        <v>0</v>
      </c>
      <c r="G138" s="38">
        <f t="shared" si="113"/>
        <v>0</v>
      </c>
      <c r="H138" s="38">
        <f t="shared" si="113"/>
        <v>3755.6637873053137</v>
      </c>
      <c r="I138" s="38">
        <f t="shared" si="113"/>
        <v>0</v>
      </c>
      <c r="J138" s="18">
        <f t="shared" si="107"/>
        <v>716.1</v>
      </c>
      <c r="K138" s="19">
        <v>0</v>
      </c>
      <c r="L138" s="19">
        <v>0</v>
      </c>
      <c r="M138" s="19">
        <v>716.1</v>
      </c>
      <c r="N138" s="38">
        <v>0</v>
      </c>
      <c r="O138" s="18">
        <f t="shared" si="108"/>
        <v>690.6</v>
      </c>
      <c r="P138" s="19">
        <v>0</v>
      </c>
      <c r="Q138" s="19">
        <v>0</v>
      </c>
      <c r="R138" s="19">
        <f>510.7+179.9</f>
        <v>690.6</v>
      </c>
      <c r="S138" s="19">
        <v>0</v>
      </c>
      <c r="T138" s="18">
        <f t="shared" si="112"/>
        <v>680.90000000000009</v>
      </c>
      <c r="U138" s="19">
        <v>0</v>
      </c>
      <c r="V138" s="19">
        <v>0</v>
      </c>
      <c r="W138" s="19">
        <f>158.2+522.7</f>
        <v>680.90000000000009</v>
      </c>
      <c r="X138" s="19">
        <v>0</v>
      </c>
      <c r="Y138" s="18">
        <f t="shared" si="109"/>
        <v>541.6</v>
      </c>
      <c r="Z138" s="19">
        <v>0</v>
      </c>
      <c r="AA138" s="19">
        <v>0</v>
      </c>
      <c r="AB138" s="19">
        <v>541.6</v>
      </c>
      <c r="AC138" s="19">
        <v>0</v>
      </c>
      <c r="AD138" s="18">
        <f t="shared" si="110"/>
        <v>563.23189365265671</v>
      </c>
      <c r="AE138" s="19">
        <v>0</v>
      </c>
      <c r="AF138" s="19">
        <v>0</v>
      </c>
      <c r="AG138" s="19">
        <v>563.23189365265671</v>
      </c>
      <c r="AH138" s="19">
        <v>0</v>
      </c>
      <c r="AI138" s="18">
        <f t="shared" si="111"/>
        <v>563.23189365265671</v>
      </c>
      <c r="AJ138" s="19">
        <v>0</v>
      </c>
      <c r="AK138" s="19">
        <v>0</v>
      </c>
      <c r="AL138" s="19">
        <v>563.23189365265671</v>
      </c>
      <c r="AM138" s="19">
        <v>0</v>
      </c>
    </row>
    <row r="139" spans="1:39" s="2" customFormat="1" ht="31.5" outlineLevel="2" x14ac:dyDescent="0.25">
      <c r="A139" s="8" t="s">
        <v>168</v>
      </c>
      <c r="B139" s="17" t="s">
        <v>52</v>
      </c>
      <c r="C139" s="26" t="s">
        <v>32</v>
      </c>
      <c r="D139" s="26" t="s">
        <v>118</v>
      </c>
      <c r="E139" s="20">
        <f t="shared" si="105"/>
        <v>3318.2396850726</v>
      </c>
      <c r="F139" s="38">
        <f t="shared" si="106"/>
        <v>0</v>
      </c>
      <c r="G139" s="38">
        <f t="shared" si="113"/>
        <v>0</v>
      </c>
      <c r="H139" s="38">
        <f t="shared" si="113"/>
        <v>3318.2396850726</v>
      </c>
      <c r="I139" s="38">
        <f t="shared" si="113"/>
        <v>0</v>
      </c>
      <c r="J139" s="18">
        <f t="shared" si="107"/>
        <v>231.90000000000003</v>
      </c>
      <c r="K139" s="19">
        <v>0</v>
      </c>
      <c r="L139" s="19">
        <v>0</v>
      </c>
      <c r="M139" s="19">
        <v>231.90000000000003</v>
      </c>
      <c r="N139" s="38">
        <v>0</v>
      </c>
      <c r="O139" s="18">
        <f t="shared" si="108"/>
        <v>448.5</v>
      </c>
      <c r="P139" s="19">
        <v>0</v>
      </c>
      <c r="Q139" s="19">
        <v>0</v>
      </c>
      <c r="R139" s="19">
        <f>331.7+116.8</f>
        <v>448.5</v>
      </c>
      <c r="S139" s="19">
        <v>0</v>
      </c>
      <c r="T139" s="18">
        <f t="shared" si="112"/>
        <v>764.3</v>
      </c>
      <c r="U139" s="19">
        <v>0</v>
      </c>
      <c r="V139" s="19">
        <v>0</v>
      </c>
      <c r="W139" s="19">
        <f>177.2+587.1</f>
        <v>764.3</v>
      </c>
      <c r="X139" s="19">
        <v>0</v>
      </c>
      <c r="Y139" s="18">
        <f t="shared" si="109"/>
        <v>608.29999999999995</v>
      </c>
      <c r="Z139" s="19">
        <v>0</v>
      </c>
      <c r="AA139" s="19">
        <v>0</v>
      </c>
      <c r="AB139" s="19">
        <v>608.29999999999995</v>
      </c>
      <c r="AC139" s="19">
        <v>0</v>
      </c>
      <c r="AD139" s="18">
        <f t="shared" si="110"/>
        <v>632.61984253629976</v>
      </c>
      <c r="AE139" s="19">
        <v>0</v>
      </c>
      <c r="AF139" s="19">
        <v>0</v>
      </c>
      <c r="AG139" s="19">
        <v>632.61984253629976</v>
      </c>
      <c r="AH139" s="19">
        <v>0</v>
      </c>
      <c r="AI139" s="18">
        <f t="shared" si="111"/>
        <v>632.61984253629976</v>
      </c>
      <c r="AJ139" s="19">
        <v>0</v>
      </c>
      <c r="AK139" s="19">
        <v>0</v>
      </c>
      <c r="AL139" s="19">
        <v>632.61984253629976</v>
      </c>
      <c r="AM139" s="19">
        <v>0</v>
      </c>
    </row>
    <row r="140" spans="1:39" s="2" customFormat="1" ht="31.5" outlineLevel="2" x14ac:dyDescent="0.25">
      <c r="A140" s="8" t="s">
        <v>169</v>
      </c>
      <c r="B140" s="17" t="s">
        <v>64</v>
      </c>
      <c r="C140" s="26" t="s">
        <v>32</v>
      </c>
      <c r="D140" s="26" t="s">
        <v>118</v>
      </c>
      <c r="E140" s="20">
        <f t="shared" si="105"/>
        <v>5286.7102601975548</v>
      </c>
      <c r="F140" s="38">
        <f t="shared" si="106"/>
        <v>0</v>
      </c>
      <c r="G140" s="38">
        <f t="shared" si="113"/>
        <v>0</v>
      </c>
      <c r="H140" s="38">
        <f t="shared" si="113"/>
        <v>5286.7102601975548</v>
      </c>
      <c r="I140" s="38">
        <f t="shared" si="113"/>
        <v>0</v>
      </c>
      <c r="J140" s="18">
        <f t="shared" si="107"/>
        <v>1008.3000000000001</v>
      </c>
      <c r="K140" s="19">
        <v>0</v>
      </c>
      <c r="L140" s="19">
        <v>0</v>
      </c>
      <c r="M140" s="19">
        <v>1008.3000000000001</v>
      </c>
      <c r="N140" s="38">
        <v>0</v>
      </c>
      <c r="O140" s="18">
        <f t="shared" si="108"/>
        <v>972.3</v>
      </c>
      <c r="P140" s="19">
        <v>0</v>
      </c>
      <c r="Q140" s="19">
        <v>0</v>
      </c>
      <c r="R140" s="19">
        <f>719.1+253.2</f>
        <v>972.3</v>
      </c>
      <c r="S140" s="19">
        <v>0</v>
      </c>
      <c r="T140" s="18">
        <f t="shared" si="112"/>
        <v>957.6</v>
      </c>
      <c r="U140" s="19">
        <v>0</v>
      </c>
      <c r="V140" s="19">
        <v>0</v>
      </c>
      <c r="W140" s="19">
        <f>221.6+736</f>
        <v>957.6</v>
      </c>
      <c r="X140" s="19">
        <v>0</v>
      </c>
      <c r="Y140" s="18">
        <f t="shared" si="109"/>
        <v>762.5</v>
      </c>
      <c r="Z140" s="19">
        <v>0</v>
      </c>
      <c r="AA140" s="19">
        <v>0</v>
      </c>
      <c r="AB140" s="19">
        <v>762.5</v>
      </c>
      <c r="AC140" s="19">
        <v>0</v>
      </c>
      <c r="AD140" s="18">
        <f t="shared" si="110"/>
        <v>793.0051300987775</v>
      </c>
      <c r="AE140" s="19">
        <v>0</v>
      </c>
      <c r="AF140" s="19">
        <v>0</v>
      </c>
      <c r="AG140" s="19">
        <v>793.0051300987775</v>
      </c>
      <c r="AH140" s="19">
        <v>0</v>
      </c>
      <c r="AI140" s="18">
        <f t="shared" si="111"/>
        <v>793.0051300987775</v>
      </c>
      <c r="AJ140" s="19">
        <v>0</v>
      </c>
      <c r="AK140" s="19">
        <v>0</v>
      </c>
      <c r="AL140" s="19">
        <v>793.0051300987775</v>
      </c>
      <c r="AM140" s="19">
        <v>0</v>
      </c>
    </row>
    <row r="141" spans="1:39" s="2" customFormat="1" ht="31.5" outlineLevel="2" x14ac:dyDescent="0.25">
      <c r="A141" s="8" t="s">
        <v>170</v>
      </c>
      <c r="B141" s="17" t="s">
        <v>53</v>
      </c>
      <c r="C141" s="26" t="s">
        <v>32</v>
      </c>
      <c r="D141" s="26" t="s">
        <v>118</v>
      </c>
      <c r="E141" s="20">
        <f t="shared" si="105"/>
        <v>12985.94443008427</v>
      </c>
      <c r="F141" s="38">
        <f t="shared" si="106"/>
        <v>0</v>
      </c>
      <c r="G141" s="38">
        <f t="shared" si="113"/>
        <v>0</v>
      </c>
      <c r="H141" s="38">
        <f t="shared" si="113"/>
        <v>12985.94443008427</v>
      </c>
      <c r="I141" s="38">
        <f t="shared" si="113"/>
        <v>0</v>
      </c>
      <c r="J141" s="18">
        <f t="shared" si="107"/>
        <v>2173.1</v>
      </c>
      <c r="K141" s="19">
        <v>0</v>
      </c>
      <c r="L141" s="19">
        <v>0</v>
      </c>
      <c r="M141" s="19">
        <f>1797.8+375.3</f>
        <v>2173.1</v>
      </c>
      <c r="N141" s="38">
        <v>0</v>
      </c>
      <c r="O141" s="18">
        <f t="shared" si="108"/>
        <v>2457.4</v>
      </c>
      <c r="P141" s="19">
        <v>0</v>
      </c>
      <c r="Q141" s="19">
        <v>0</v>
      </c>
      <c r="R141" s="19">
        <f>1817.4+640</f>
        <v>2457.4</v>
      </c>
      <c r="S141" s="19">
        <v>0</v>
      </c>
      <c r="T141" s="18">
        <f t="shared" si="112"/>
        <v>2420.1999999999998</v>
      </c>
      <c r="U141" s="19">
        <v>0</v>
      </c>
      <c r="V141" s="19">
        <v>0</v>
      </c>
      <c r="W141" s="19">
        <f>560.1+1860.1</f>
        <v>2420.1999999999998</v>
      </c>
      <c r="X141" s="19">
        <v>0</v>
      </c>
      <c r="Y141" s="18">
        <f t="shared" si="109"/>
        <v>1927</v>
      </c>
      <c r="Z141" s="19">
        <v>0</v>
      </c>
      <c r="AA141" s="19">
        <v>0</v>
      </c>
      <c r="AB141" s="19">
        <v>1927</v>
      </c>
      <c r="AC141" s="19">
        <v>0</v>
      </c>
      <c r="AD141" s="18">
        <f t="shared" si="110"/>
        <v>2004.1222150421354</v>
      </c>
      <c r="AE141" s="19">
        <v>0</v>
      </c>
      <c r="AF141" s="19">
        <v>0</v>
      </c>
      <c r="AG141" s="19">
        <v>2004.1222150421354</v>
      </c>
      <c r="AH141" s="19">
        <v>0</v>
      </c>
      <c r="AI141" s="18">
        <f t="shared" si="111"/>
        <v>2004.1222150421354</v>
      </c>
      <c r="AJ141" s="19">
        <v>0</v>
      </c>
      <c r="AK141" s="19">
        <v>0</v>
      </c>
      <c r="AL141" s="19">
        <v>2004.1222150421354</v>
      </c>
      <c r="AM141" s="19">
        <v>0</v>
      </c>
    </row>
    <row r="142" spans="1:39" s="2" customFormat="1" ht="31.5" outlineLevel="2" x14ac:dyDescent="0.25">
      <c r="A142" s="8" t="s">
        <v>171</v>
      </c>
      <c r="B142" s="17" t="s">
        <v>63</v>
      </c>
      <c r="C142" s="26" t="s">
        <v>32</v>
      </c>
      <c r="D142" s="26" t="s">
        <v>118</v>
      </c>
      <c r="E142" s="20">
        <f t="shared" si="105"/>
        <v>24520.471792369473</v>
      </c>
      <c r="F142" s="38">
        <f t="shared" si="106"/>
        <v>0</v>
      </c>
      <c r="G142" s="38">
        <f t="shared" si="113"/>
        <v>0</v>
      </c>
      <c r="H142" s="38">
        <f t="shared" si="113"/>
        <v>24520.471792369473</v>
      </c>
      <c r="I142" s="38">
        <f t="shared" si="113"/>
        <v>0</v>
      </c>
      <c r="J142" s="18">
        <f t="shared" si="107"/>
        <v>4174</v>
      </c>
      <c r="K142" s="19">
        <v>0</v>
      </c>
      <c r="L142" s="19">
        <v>0</v>
      </c>
      <c r="M142" s="19">
        <f>1260.4+2913.6</f>
        <v>4174</v>
      </c>
      <c r="N142" s="38">
        <v>0</v>
      </c>
      <c r="O142" s="18">
        <f t="shared" si="108"/>
        <v>4624</v>
      </c>
      <c r="P142" s="19">
        <v>0</v>
      </c>
      <c r="Q142" s="19">
        <v>0</v>
      </c>
      <c r="R142" s="19">
        <f>3419.7+1204.3</f>
        <v>4624</v>
      </c>
      <c r="S142" s="19">
        <v>0</v>
      </c>
      <c r="T142" s="18">
        <f t="shared" si="112"/>
        <v>4554.1000000000004</v>
      </c>
      <c r="U142" s="19">
        <v>0</v>
      </c>
      <c r="V142" s="19">
        <v>0</v>
      </c>
      <c r="W142" s="19">
        <f>1054+3500.1</f>
        <v>4554.1000000000004</v>
      </c>
      <c r="X142" s="19">
        <v>0</v>
      </c>
      <c r="Y142" s="18">
        <f t="shared" si="109"/>
        <v>3626.1</v>
      </c>
      <c r="Z142" s="19">
        <v>0</v>
      </c>
      <c r="AA142" s="19">
        <v>0</v>
      </c>
      <c r="AB142" s="19">
        <v>3626.1</v>
      </c>
      <c r="AC142" s="19">
        <v>0</v>
      </c>
      <c r="AD142" s="18">
        <f t="shared" si="110"/>
        <v>3771.1358961847359</v>
      </c>
      <c r="AE142" s="19">
        <v>0</v>
      </c>
      <c r="AF142" s="19">
        <v>0</v>
      </c>
      <c r="AG142" s="19">
        <v>3771.1358961847359</v>
      </c>
      <c r="AH142" s="19">
        <v>0</v>
      </c>
      <c r="AI142" s="18">
        <f t="shared" si="111"/>
        <v>3771.1358961847359</v>
      </c>
      <c r="AJ142" s="19">
        <v>0</v>
      </c>
      <c r="AK142" s="19">
        <v>0</v>
      </c>
      <c r="AL142" s="19">
        <v>3771.1358961847359</v>
      </c>
      <c r="AM142" s="19">
        <v>0</v>
      </c>
    </row>
    <row r="143" spans="1:39" s="2" customFormat="1" ht="31.5" outlineLevel="2" x14ac:dyDescent="0.25">
      <c r="A143" s="8" t="s">
        <v>172</v>
      </c>
      <c r="B143" s="17" t="s">
        <v>62</v>
      </c>
      <c r="C143" s="26" t="s">
        <v>32</v>
      </c>
      <c r="D143" s="26" t="s">
        <v>118</v>
      </c>
      <c r="E143" s="20">
        <f t="shared" si="105"/>
        <v>6285.8402917166704</v>
      </c>
      <c r="F143" s="38">
        <f t="shared" si="106"/>
        <v>0</v>
      </c>
      <c r="G143" s="38">
        <f t="shared" si="113"/>
        <v>0</v>
      </c>
      <c r="H143" s="38">
        <f t="shared" si="113"/>
        <v>6285.8402917166704</v>
      </c>
      <c r="I143" s="38">
        <f t="shared" si="113"/>
        <v>0</v>
      </c>
      <c r="J143" s="18">
        <f t="shared" si="107"/>
        <v>1159.6999999999998</v>
      </c>
      <c r="K143" s="19">
        <v>0</v>
      </c>
      <c r="L143" s="19">
        <v>0</v>
      </c>
      <c r="M143" s="19">
        <f>1135.6+24.1</f>
        <v>1159.6999999999998</v>
      </c>
      <c r="N143" s="38">
        <v>0</v>
      </c>
      <c r="O143" s="18">
        <f t="shared" si="108"/>
        <v>1164.9000000000001</v>
      </c>
      <c r="P143" s="19">
        <v>0</v>
      </c>
      <c r="Q143" s="19">
        <v>0</v>
      </c>
      <c r="R143" s="19">
        <f>861.5+303.4</f>
        <v>1164.9000000000001</v>
      </c>
      <c r="S143" s="19">
        <v>0</v>
      </c>
      <c r="T143" s="18">
        <f t="shared" si="112"/>
        <v>1147.7</v>
      </c>
      <c r="U143" s="19">
        <v>0</v>
      </c>
      <c r="V143" s="19">
        <v>0</v>
      </c>
      <c r="W143" s="19">
        <f>266+881.7</f>
        <v>1147.7</v>
      </c>
      <c r="X143" s="19">
        <v>0</v>
      </c>
      <c r="Y143" s="18">
        <f t="shared" si="109"/>
        <v>913.5</v>
      </c>
      <c r="Z143" s="19">
        <v>0</v>
      </c>
      <c r="AA143" s="19">
        <v>0</v>
      </c>
      <c r="AB143" s="19">
        <v>913.5</v>
      </c>
      <c r="AC143" s="19">
        <v>0</v>
      </c>
      <c r="AD143" s="18">
        <f t="shared" si="110"/>
        <v>950.02014585833535</v>
      </c>
      <c r="AE143" s="19">
        <v>0</v>
      </c>
      <c r="AF143" s="19">
        <v>0</v>
      </c>
      <c r="AG143" s="19">
        <v>950.02014585833535</v>
      </c>
      <c r="AH143" s="19">
        <v>0</v>
      </c>
      <c r="AI143" s="18">
        <f t="shared" si="111"/>
        <v>950.02014585833535</v>
      </c>
      <c r="AJ143" s="19">
        <v>0</v>
      </c>
      <c r="AK143" s="19">
        <v>0</v>
      </c>
      <c r="AL143" s="19">
        <v>950.02014585833535</v>
      </c>
      <c r="AM143" s="19">
        <v>0</v>
      </c>
    </row>
    <row r="144" spans="1:39" s="2" customFormat="1" ht="31.5" outlineLevel="2" x14ac:dyDescent="0.25">
      <c r="A144" s="8" t="s">
        <v>173</v>
      </c>
      <c r="B144" s="17" t="s">
        <v>60</v>
      </c>
      <c r="C144" s="26" t="s">
        <v>32</v>
      </c>
      <c r="D144" s="26" t="s">
        <v>118</v>
      </c>
      <c r="E144" s="20">
        <f t="shared" si="105"/>
        <v>3568.9569256333489</v>
      </c>
      <c r="F144" s="38">
        <f t="shared" si="106"/>
        <v>0</v>
      </c>
      <c r="G144" s="38">
        <f t="shared" si="113"/>
        <v>0</v>
      </c>
      <c r="H144" s="38">
        <f t="shared" si="113"/>
        <v>3568.9569256333489</v>
      </c>
      <c r="I144" s="38">
        <f t="shared" si="113"/>
        <v>0</v>
      </c>
      <c r="J144" s="18">
        <f t="shared" si="107"/>
        <v>680.59999999999991</v>
      </c>
      <c r="K144" s="19">
        <v>0</v>
      </c>
      <c r="L144" s="19">
        <v>0</v>
      </c>
      <c r="M144" s="19">
        <v>680.59999999999991</v>
      </c>
      <c r="N144" s="38">
        <v>0</v>
      </c>
      <c r="O144" s="18">
        <f t="shared" si="108"/>
        <v>656.3</v>
      </c>
      <c r="P144" s="19">
        <v>0</v>
      </c>
      <c r="Q144" s="19">
        <v>0</v>
      </c>
      <c r="R144" s="19">
        <f>485.4+170.9</f>
        <v>656.3</v>
      </c>
      <c r="S144" s="19">
        <v>0</v>
      </c>
      <c r="T144" s="18">
        <f t="shared" si="112"/>
        <v>646.79999999999995</v>
      </c>
      <c r="U144" s="19">
        <v>0</v>
      </c>
      <c r="V144" s="19">
        <v>0</v>
      </c>
      <c r="W144" s="19">
        <f>150+496.8</f>
        <v>646.79999999999995</v>
      </c>
      <c r="X144" s="19">
        <v>0</v>
      </c>
      <c r="Y144" s="18">
        <f t="shared" si="109"/>
        <v>514.70000000000005</v>
      </c>
      <c r="Z144" s="19">
        <v>0</v>
      </c>
      <c r="AA144" s="19">
        <v>0</v>
      </c>
      <c r="AB144" s="19">
        <v>514.70000000000005</v>
      </c>
      <c r="AC144" s="19">
        <v>0</v>
      </c>
      <c r="AD144" s="18">
        <f t="shared" si="110"/>
        <v>535.27846281667485</v>
      </c>
      <c r="AE144" s="19">
        <v>0</v>
      </c>
      <c r="AF144" s="19">
        <v>0</v>
      </c>
      <c r="AG144" s="19">
        <v>535.27846281667485</v>
      </c>
      <c r="AH144" s="19">
        <v>0</v>
      </c>
      <c r="AI144" s="18">
        <f t="shared" si="111"/>
        <v>535.27846281667485</v>
      </c>
      <c r="AJ144" s="19">
        <v>0</v>
      </c>
      <c r="AK144" s="19">
        <v>0</v>
      </c>
      <c r="AL144" s="19">
        <v>535.27846281667485</v>
      </c>
      <c r="AM144" s="19">
        <v>0</v>
      </c>
    </row>
    <row r="145" spans="1:39" s="2" customFormat="1" ht="31.5" outlineLevel="2" x14ac:dyDescent="0.25">
      <c r="A145" s="8" t="s">
        <v>174</v>
      </c>
      <c r="B145" s="17" t="s">
        <v>61</v>
      </c>
      <c r="C145" s="26" t="s">
        <v>32</v>
      </c>
      <c r="D145" s="26" t="s">
        <v>118</v>
      </c>
      <c r="E145" s="20">
        <f>SUM(F145:I145)</f>
        <v>5680.1281074023773</v>
      </c>
      <c r="F145" s="38">
        <f>K145+P145+U145</f>
        <v>0</v>
      </c>
      <c r="G145" s="38">
        <f t="shared" si="113"/>
        <v>0</v>
      </c>
      <c r="H145" s="38">
        <f t="shared" si="113"/>
        <v>5680.1281074023773</v>
      </c>
      <c r="I145" s="38">
        <f t="shared" si="113"/>
        <v>0</v>
      </c>
      <c r="J145" s="18">
        <f t="shared" si="107"/>
        <v>214.3</v>
      </c>
      <c r="K145" s="19">
        <v>0</v>
      </c>
      <c r="L145" s="19">
        <v>0</v>
      </c>
      <c r="M145" s="19">
        <v>214.3</v>
      </c>
      <c r="N145" s="38">
        <v>0</v>
      </c>
      <c r="O145" s="18">
        <f t="shared" si="108"/>
        <v>1242.2</v>
      </c>
      <c r="P145" s="19">
        <v>0</v>
      </c>
      <c r="Q145" s="19">
        <v>0</v>
      </c>
      <c r="R145" s="19">
        <f>918.7+323.5</f>
        <v>1242.2</v>
      </c>
      <c r="S145" s="19">
        <v>0</v>
      </c>
      <c r="T145" s="18">
        <f t="shared" si="112"/>
        <v>1223.4000000000001</v>
      </c>
      <c r="U145" s="19">
        <v>0</v>
      </c>
      <c r="V145" s="19">
        <v>0</v>
      </c>
      <c r="W145" s="19">
        <f>283.2+940.2</f>
        <v>1223.4000000000001</v>
      </c>
      <c r="X145" s="19">
        <v>0</v>
      </c>
      <c r="Y145" s="18">
        <f t="shared" si="109"/>
        <v>974.1</v>
      </c>
      <c r="Z145" s="19">
        <v>0</v>
      </c>
      <c r="AA145" s="19">
        <v>0</v>
      </c>
      <c r="AB145" s="19">
        <v>974.1</v>
      </c>
      <c r="AC145" s="19">
        <v>0</v>
      </c>
      <c r="AD145" s="18">
        <f t="shared" si="110"/>
        <v>1013.0640537011883</v>
      </c>
      <c r="AE145" s="19">
        <v>0</v>
      </c>
      <c r="AF145" s="19">
        <v>0</v>
      </c>
      <c r="AG145" s="19">
        <v>1013.0640537011883</v>
      </c>
      <c r="AH145" s="19">
        <v>0</v>
      </c>
      <c r="AI145" s="18">
        <f t="shared" si="111"/>
        <v>1013.0640537011883</v>
      </c>
      <c r="AJ145" s="19">
        <v>0</v>
      </c>
      <c r="AK145" s="19">
        <v>0</v>
      </c>
      <c r="AL145" s="19">
        <v>1013.0640537011883</v>
      </c>
      <c r="AM145" s="19">
        <v>0</v>
      </c>
    </row>
    <row r="146" spans="1:39" s="2" customFormat="1" ht="31.5" outlineLevel="2" x14ac:dyDescent="0.25">
      <c r="A146" s="8" t="s">
        <v>175</v>
      </c>
      <c r="B146" s="17" t="s">
        <v>54</v>
      </c>
      <c r="C146" s="26" t="s">
        <v>32</v>
      </c>
      <c r="D146" s="26" t="s">
        <v>118</v>
      </c>
      <c r="E146" s="20">
        <f t="shared" si="105"/>
        <v>6986.8547549026061</v>
      </c>
      <c r="F146" s="38">
        <f t="shared" si="106"/>
        <v>0</v>
      </c>
      <c r="G146" s="38">
        <f t="shared" si="113"/>
        <v>0</v>
      </c>
      <c r="H146" s="38">
        <f t="shared" si="113"/>
        <v>6986.8547549026061</v>
      </c>
      <c r="I146" s="38">
        <f t="shared" si="113"/>
        <v>0</v>
      </c>
      <c r="J146" s="18">
        <f t="shared" si="107"/>
        <v>0</v>
      </c>
      <c r="K146" s="19">
        <v>0</v>
      </c>
      <c r="L146" s="19">
        <v>0</v>
      </c>
      <c r="M146" s="19">
        <v>0</v>
      </c>
      <c r="N146" s="38">
        <v>0</v>
      </c>
      <c r="O146" s="18">
        <f t="shared" si="108"/>
        <v>1587.8</v>
      </c>
      <c r="P146" s="19">
        <v>0</v>
      </c>
      <c r="Q146" s="19">
        <v>0</v>
      </c>
      <c r="R146" s="19">
        <f>1174.3+413.5</f>
        <v>1587.8</v>
      </c>
      <c r="S146" s="19">
        <v>0</v>
      </c>
      <c r="T146" s="18">
        <f t="shared" si="112"/>
        <v>1563.9</v>
      </c>
      <c r="U146" s="19">
        <v>0</v>
      </c>
      <c r="V146" s="19">
        <v>0</v>
      </c>
      <c r="W146" s="19">
        <f>362+1201.9</f>
        <v>1563.9</v>
      </c>
      <c r="X146" s="19">
        <v>0</v>
      </c>
      <c r="Y146" s="18">
        <f t="shared" si="109"/>
        <v>1245.2</v>
      </c>
      <c r="Z146" s="19">
        <v>0</v>
      </c>
      <c r="AA146" s="19">
        <v>0</v>
      </c>
      <c r="AB146" s="19">
        <v>1245.2</v>
      </c>
      <c r="AC146" s="19">
        <v>0</v>
      </c>
      <c r="AD146" s="18">
        <f t="shared" si="110"/>
        <v>1294.9773774513037</v>
      </c>
      <c r="AE146" s="19">
        <v>0</v>
      </c>
      <c r="AF146" s="19">
        <v>0</v>
      </c>
      <c r="AG146" s="19">
        <v>1294.9773774513037</v>
      </c>
      <c r="AH146" s="19">
        <v>0</v>
      </c>
      <c r="AI146" s="18">
        <f t="shared" si="111"/>
        <v>1294.9773774513037</v>
      </c>
      <c r="AJ146" s="19">
        <v>0</v>
      </c>
      <c r="AK146" s="19">
        <v>0</v>
      </c>
      <c r="AL146" s="19">
        <v>1294.9773774513037</v>
      </c>
      <c r="AM146" s="19">
        <v>0</v>
      </c>
    </row>
    <row r="147" spans="1:39" s="2" customFormat="1" ht="31.5" outlineLevel="2" x14ac:dyDescent="0.25">
      <c r="A147" s="8" t="s">
        <v>176</v>
      </c>
      <c r="B147" s="17" t="s">
        <v>55</v>
      </c>
      <c r="C147" s="26" t="s">
        <v>32</v>
      </c>
      <c r="D147" s="26" t="s">
        <v>118</v>
      </c>
      <c r="E147" s="20">
        <f t="shared" si="105"/>
        <v>4044.6978490511292</v>
      </c>
      <c r="F147" s="38">
        <f t="shared" si="106"/>
        <v>0</v>
      </c>
      <c r="G147" s="38">
        <f t="shared" si="113"/>
        <v>0</v>
      </c>
      <c r="H147" s="38">
        <f t="shared" si="113"/>
        <v>4044.6978490511292</v>
      </c>
      <c r="I147" s="38">
        <f t="shared" si="113"/>
        <v>0</v>
      </c>
      <c r="J147" s="18">
        <f t="shared" si="107"/>
        <v>771.3</v>
      </c>
      <c r="K147" s="19">
        <v>0</v>
      </c>
      <c r="L147" s="19">
        <v>0</v>
      </c>
      <c r="M147" s="19">
        <v>771.3</v>
      </c>
      <c r="N147" s="38">
        <v>0</v>
      </c>
      <c r="O147" s="18">
        <f t="shared" si="108"/>
        <v>743.8</v>
      </c>
      <c r="P147" s="19">
        <v>0</v>
      </c>
      <c r="Q147" s="19">
        <v>0</v>
      </c>
      <c r="R147" s="19">
        <f>550.1+193.7</f>
        <v>743.8</v>
      </c>
      <c r="S147" s="19">
        <v>0</v>
      </c>
      <c r="T147" s="18">
        <f t="shared" si="112"/>
        <v>733</v>
      </c>
      <c r="U147" s="19">
        <v>0</v>
      </c>
      <c r="V147" s="19">
        <v>0</v>
      </c>
      <c r="W147" s="19">
        <f>170+563</f>
        <v>733</v>
      </c>
      <c r="X147" s="19">
        <v>0</v>
      </c>
      <c r="Y147" s="18">
        <f t="shared" si="109"/>
        <v>583.29999999999995</v>
      </c>
      <c r="Z147" s="19">
        <v>0</v>
      </c>
      <c r="AA147" s="19">
        <v>0</v>
      </c>
      <c r="AB147" s="19">
        <v>583.29999999999995</v>
      </c>
      <c r="AC147" s="19">
        <v>0</v>
      </c>
      <c r="AD147" s="18">
        <f t="shared" si="110"/>
        <v>606.64892452556478</v>
      </c>
      <c r="AE147" s="19">
        <v>0</v>
      </c>
      <c r="AF147" s="19">
        <v>0</v>
      </c>
      <c r="AG147" s="19">
        <v>606.64892452556478</v>
      </c>
      <c r="AH147" s="19">
        <v>0</v>
      </c>
      <c r="AI147" s="18">
        <f t="shared" si="111"/>
        <v>606.64892452556478</v>
      </c>
      <c r="AJ147" s="19">
        <v>0</v>
      </c>
      <c r="AK147" s="19">
        <v>0</v>
      </c>
      <c r="AL147" s="19">
        <v>606.64892452556478</v>
      </c>
      <c r="AM147" s="19">
        <v>0</v>
      </c>
    </row>
    <row r="148" spans="1:39" s="2" customFormat="1" ht="31.5" outlineLevel="2" x14ac:dyDescent="0.25">
      <c r="A148" s="8" t="s">
        <v>177</v>
      </c>
      <c r="B148" s="17" t="s">
        <v>56</v>
      </c>
      <c r="C148" s="26" t="s">
        <v>32</v>
      </c>
      <c r="D148" s="26" t="s">
        <v>118</v>
      </c>
      <c r="E148" s="20">
        <f t="shared" si="105"/>
        <v>3502.7317973808804</v>
      </c>
      <c r="F148" s="38">
        <f t="shared" si="106"/>
        <v>0</v>
      </c>
      <c r="G148" s="38">
        <f t="shared" si="113"/>
        <v>0</v>
      </c>
      <c r="H148" s="38">
        <f t="shared" si="113"/>
        <v>3502.7317973808804</v>
      </c>
      <c r="I148" s="38">
        <f t="shared" si="113"/>
        <v>0</v>
      </c>
      <c r="J148" s="18">
        <f t="shared" si="107"/>
        <v>668</v>
      </c>
      <c r="K148" s="19">
        <v>0</v>
      </c>
      <c r="L148" s="19">
        <v>0</v>
      </c>
      <c r="M148" s="19">
        <v>668</v>
      </c>
      <c r="N148" s="38">
        <v>0</v>
      </c>
      <c r="O148" s="18">
        <f t="shared" si="108"/>
        <v>644.20000000000005</v>
      </c>
      <c r="P148" s="19">
        <v>0</v>
      </c>
      <c r="Q148" s="19">
        <v>0</v>
      </c>
      <c r="R148" s="19">
        <f>476.4+167.8</f>
        <v>644.20000000000005</v>
      </c>
      <c r="S148" s="19">
        <v>0</v>
      </c>
      <c r="T148" s="18">
        <f t="shared" si="112"/>
        <v>634.6</v>
      </c>
      <c r="U148" s="19">
        <v>0</v>
      </c>
      <c r="V148" s="19">
        <v>0</v>
      </c>
      <c r="W148" s="19">
        <f>147+487.6</f>
        <v>634.6</v>
      </c>
      <c r="X148" s="19">
        <v>0</v>
      </c>
      <c r="Y148" s="18">
        <f t="shared" si="109"/>
        <v>505.19999999999993</v>
      </c>
      <c r="Z148" s="19">
        <v>0</v>
      </c>
      <c r="AA148" s="19">
        <v>0</v>
      </c>
      <c r="AB148" s="19">
        <v>505.19999999999993</v>
      </c>
      <c r="AC148" s="19">
        <v>0</v>
      </c>
      <c r="AD148" s="18">
        <f t="shared" si="110"/>
        <v>525.36589869044008</v>
      </c>
      <c r="AE148" s="19">
        <v>0</v>
      </c>
      <c r="AF148" s="19">
        <v>0</v>
      </c>
      <c r="AG148" s="19">
        <v>525.36589869044008</v>
      </c>
      <c r="AH148" s="19">
        <v>0</v>
      </c>
      <c r="AI148" s="18">
        <f t="shared" si="111"/>
        <v>525.36589869044008</v>
      </c>
      <c r="AJ148" s="19">
        <v>0</v>
      </c>
      <c r="AK148" s="19">
        <v>0</v>
      </c>
      <c r="AL148" s="19">
        <v>525.36589869044008</v>
      </c>
      <c r="AM148" s="19">
        <v>0</v>
      </c>
    </row>
    <row r="149" spans="1:39" s="2" customFormat="1" ht="31.5" outlineLevel="2" x14ac:dyDescent="0.25">
      <c r="A149" s="8" t="s">
        <v>289</v>
      </c>
      <c r="B149" s="17" t="s">
        <v>58</v>
      </c>
      <c r="C149" s="26" t="s">
        <v>32</v>
      </c>
      <c r="D149" s="26" t="s">
        <v>118</v>
      </c>
      <c r="E149" s="20">
        <f t="shared" si="105"/>
        <v>3415.2066691284103</v>
      </c>
      <c r="F149" s="38">
        <f t="shared" si="106"/>
        <v>0</v>
      </c>
      <c r="G149" s="38">
        <f t="shared" si="113"/>
        <v>0</v>
      </c>
      <c r="H149" s="38">
        <f t="shared" si="113"/>
        <v>3415.2066691284103</v>
      </c>
      <c r="I149" s="38">
        <f t="shared" si="113"/>
        <v>0</v>
      </c>
      <c r="J149" s="18">
        <f t="shared" si="107"/>
        <v>634.19999999999993</v>
      </c>
      <c r="K149" s="19">
        <v>0</v>
      </c>
      <c r="L149" s="19">
        <v>0</v>
      </c>
      <c r="M149" s="19">
        <v>634.19999999999993</v>
      </c>
      <c r="N149" s="38">
        <v>0</v>
      </c>
      <c r="O149" s="18">
        <f t="shared" si="108"/>
        <v>632</v>
      </c>
      <c r="P149" s="19">
        <v>0</v>
      </c>
      <c r="Q149" s="19">
        <v>0</v>
      </c>
      <c r="R149" s="19">
        <f>467.4+164.6</f>
        <v>632</v>
      </c>
      <c r="S149" s="19">
        <v>0</v>
      </c>
      <c r="T149" s="18">
        <f t="shared" si="112"/>
        <v>622.5</v>
      </c>
      <c r="U149" s="19">
        <v>0</v>
      </c>
      <c r="V149" s="19">
        <v>0</v>
      </c>
      <c r="W149" s="19">
        <f>144.1+478.4</f>
        <v>622.5</v>
      </c>
      <c r="X149" s="19">
        <v>0</v>
      </c>
      <c r="Y149" s="18">
        <f t="shared" si="109"/>
        <v>495.6</v>
      </c>
      <c r="Z149" s="19">
        <v>0</v>
      </c>
      <c r="AA149" s="19">
        <v>0</v>
      </c>
      <c r="AB149" s="19">
        <v>495.6</v>
      </c>
      <c r="AC149" s="19">
        <v>0</v>
      </c>
      <c r="AD149" s="18">
        <f t="shared" si="110"/>
        <v>515.45333456420542</v>
      </c>
      <c r="AE149" s="19">
        <v>0</v>
      </c>
      <c r="AF149" s="19">
        <v>0</v>
      </c>
      <c r="AG149" s="19">
        <v>515.45333456420542</v>
      </c>
      <c r="AH149" s="19">
        <v>0</v>
      </c>
      <c r="AI149" s="18">
        <f t="shared" si="111"/>
        <v>515.45333456420542</v>
      </c>
      <c r="AJ149" s="19">
        <v>0</v>
      </c>
      <c r="AK149" s="19">
        <v>0</v>
      </c>
      <c r="AL149" s="19">
        <v>515.45333456420542</v>
      </c>
      <c r="AM149" s="19">
        <v>0</v>
      </c>
    </row>
    <row r="150" spans="1:39" s="2" customFormat="1" ht="31.5" outlineLevel="2" x14ac:dyDescent="0.25">
      <c r="A150" s="8" t="s">
        <v>562</v>
      </c>
      <c r="B150" s="17" t="s">
        <v>290</v>
      </c>
      <c r="C150" s="26" t="s">
        <v>32</v>
      </c>
      <c r="D150" s="26" t="s">
        <v>118</v>
      </c>
      <c r="E150" s="20">
        <f>SUM(F150:I150)</f>
        <v>2220.4</v>
      </c>
      <c r="F150" s="38">
        <f>K150+P150+U150</f>
        <v>0</v>
      </c>
      <c r="G150" s="38">
        <f t="shared" si="113"/>
        <v>0</v>
      </c>
      <c r="H150" s="38">
        <f t="shared" si="113"/>
        <v>2220.4</v>
      </c>
      <c r="I150" s="38">
        <f t="shared" si="113"/>
        <v>0</v>
      </c>
      <c r="J150" s="18">
        <f>SUM(K150:N150)</f>
        <v>2220.4</v>
      </c>
      <c r="K150" s="19">
        <v>0</v>
      </c>
      <c r="L150" s="19">
        <v>0</v>
      </c>
      <c r="M150" s="19">
        <f>853.7-375.3+79.2+1662.8</f>
        <v>2220.4</v>
      </c>
      <c r="N150" s="38">
        <v>0</v>
      </c>
      <c r="O150" s="18">
        <f t="shared" si="108"/>
        <v>0</v>
      </c>
      <c r="P150" s="19">
        <v>0</v>
      </c>
      <c r="Q150" s="19">
        <v>0</v>
      </c>
      <c r="R150" s="19">
        <f>4715.3-4715.3</f>
        <v>0</v>
      </c>
      <c r="S150" s="19">
        <v>0</v>
      </c>
      <c r="T150" s="18">
        <f t="shared" si="112"/>
        <v>0</v>
      </c>
      <c r="U150" s="19">
        <v>0</v>
      </c>
      <c r="V150" s="19">
        <v>0</v>
      </c>
      <c r="W150" s="19">
        <v>0</v>
      </c>
      <c r="X150" s="19">
        <v>0</v>
      </c>
      <c r="Y150" s="18">
        <f>SUM(Z150:AC150)</f>
        <v>0</v>
      </c>
      <c r="Z150" s="19">
        <v>0</v>
      </c>
      <c r="AA150" s="19">
        <v>0</v>
      </c>
      <c r="AB150" s="19">
        <v>0</v>
      </c>
      <c r="AC150" s="19">
        <v>0</v>
      </c>
      <c r="AD150" s="18">
        <f>SUM(AE150:AH150)</f>
        <v>0</v>
      </c>
      <c r="AE150" s="19">
        <v>0</v>
      </c>
      <c r="AF150" s="19">
        <v>0</v>
      </c>
      <c r="AG150" s="19">
        <v>0</v>
      </c>
      <c r="AH150" s="19">
        <v>0</v>
      </c>
      <c r="AI150" s="18">
        <f t="shared" si="111"/>
        <v>0</v>
      </c>
      <c r="AJ150" s="19">
        <v>0</v>
      </c>
      <c r="AK150" s="19">
        <v>0</v>
      </c>
      <c r="AL150" s="19">
        <v>0</v>
      </c>
      <c r="AM150" s="19">
        <v>0</v>
      </c>
    </row>
    <row r="151" spans="1:39" s="5" customFormat="1" ht="62.25" customHeight="1" outlineLevel="1" x14ac:dyDescent="0.25">
      <c r="A151" s="138" t="s">
        <v>178</v>
      </c>
      <c r="B151" s="173" t="s">
        <v>13</v>
      </c>
      <c r="C151" s="174"/>
      <c r="D151" s="174"/>
      <c r="E151" s="18">
        <f>E152+E158+E168+E181</f>
        <v>53080.200000000004</v>
      </c>
      <c r="F151" s="18">
        <f t="shared" ref="F151:AM151" si="114">F152+F158+F168+F181</f>
        <v>0</v>
      </c>
      <c r="G151" s="18">
        <f t="shared" si="114"/>
        <v>0</v>
      </c>
      <c r="H151" s="18">
        <f t="shared" si="114"/>
        <v>53080.200000000004</v>
      </c>
      <c r="I151" s="18">
        <f t="shared" si="114"/>
        <v>0</v>
      </c>
      <c r="J151" s="18">
        <f t="shared" si="114"/>
        <v>19726.900000000001</v>
      </c>
      <c r="K151" s="18">
        <f t="shared" si="114"/>
        <v>0</v>
      </c>
      <c r="L151" s="18">
        <f t="shared" si="114"/>
        <v>0</v>
      </c>
      <c r="M151" s="18">
        <f t="shared" si="114"/>
        <v>19726.900000000001</v>
      </c>
      <c r="N151" s="18">
        <f t="shared" si="114"/>
        <v>0</v>
      </c>
      <c r="O151" s="18">
        <f t="shared" si="114"/>
        <v>4580</v>
      </c>
      <c r="P151" s="18">
        <f t="shared" si="114"/>
        <v>0</v>
      </c>
      <c r="Q151" s="18">
        <f t="shared" si="114"/>
        <v>0</v>
      </c>
      <c r="R151" s="18">
        <f t="shared" si="114"/>
        <v>4580</v>
      </c>
      <c r="S151" s="18">
        <f t="shared" si="114"/>
        <v>0</v>
      </c>
      <c r="T151" s="18">
        <f t="shared" si="114"/>
        <v>25217.399999999998</v>
      </c>
      <c r="U151" s="18">
        <f t="shared" si="114"/>
        <v>0</v>
      </c>
      <c r="V151" s="18">
        <f t="shared" si="114"/>
        <v>0</v>
      </c>
      <c r="W151" s="18">
        <f t="shared" si="114"/>
        <v>25217.399999999998</v>
      </c>
      <c r="X151" s="18">
        <f t="shared" si="114"/>
        <v>0</v>
      </c>
      <c r="Y151" s="18">
        <f t="shared" si="114"/>
        <v>1164.4000000000001</v>
      </c>
      <c r="Z151" s="18">
        <f t="shared" si="114"/>
        <v>0</v>
      </c>
      <c r="AA151" s="18">
        <f t="shared" si="114"/>
        <v>0</v>
      </c>
      <c r="AB151" s="18">
        <f t="shared" si="114"/>
        <v>1164.4000000000001</v>
      </c>
      <c r="AC151" s="18">
        <f t="shared" si="114"/>
        <v>0</v>
      </c>
      <c r="AD151" s="18">
        <f t="shared" si="114"/>
        <v>1210.9999999999998</v>
      </c>
      <c r="AE151" s="18">
        <f t="shared" si="114"/>
        <v>0</v>
      </c>
      <c r="AF151" s="18">
        <f t="shared" si="114"/>
        <v>0</v>
      </c>
      <c r="AG151" s="18">
        <f t="shared" si="114"/>
        <v>1210.9999999999998</v>
      </c>
      <c r="AH151" s="18">
        <f t="shared" si="114"/>
        <v>0</v>
      </c>
      <c r="AI151" s="18">
        <f t="shared" si="114"/>
        <v>1180.4999999999998</v>
      </c>
      <c r="AJ151" s="18">
        <f t="shared" si="114"/>
        <v>0</v>
      </c>
      <c r="AK151" s="18">
        <f t="shared" si="114"/>
        <v>0</v>
      </c>
      <c r="AL151" s="18">
        <f t="shared" si="114"/>
        <v>1180.4999999999998</v>
      </c>
      <c r="AM151" s="18">
        <f t="shared" si="114"/>
        <v>0</v>
      </c>
    </row>
    <row r="152" spans="1:39" s="2" customFormat="1" ht="52.5" customHeight="1" outlineLevel="2" x14ac:dyDescent="0.25">
      <c r="A152" s="138" t="s">
        <v>79</v>
      </c>
      <c r="B152" s="175" t="s">
        <v>718</v>
      </c>
      <c r="C152" s="175"/>
      <c r="D152" s="176"/>
      <c r="E152" s="20">
        <f t="shared" ref="E152:AM152" si="115">SUM(E153:E157)</f>
        <v>35543.4</v>
      </c>
      <c r="F152" s="20">
        <f t="shared" si="115"/>
        <v>0</v>
      </c>
      <c r="G152" s="20">
        <f t="shared" si="115"/>
        <v>0</v>
      </c>
      <c r="H152" s="20">
        <f t="shared" si="115"/>
        <v>35543.4</v>
      </c>
      <c r="I152" s="20">
        <f t="shared" si="115"/>
        <v>0</v>
      </c>
      <c r="J152" s="20">
        <f t="shared" si="115"/>
        <v>13583.4</v>
      </c>
      <c r="K152" s="20">
        <f t="shared" si="115"/>
        <v>0</v>
      </c>
      <c r="L152" s="20">
        <f t="shared" si="115"/>
        <v>0</v>
      </c>
      <c r="M152" s="20">
        <f t="shared" si="115"/>
        <v>13583.4</v>
      </c>
      <c r="N152" s="20">
        <f t="shared" si="115"/>
        <v>0</v>
      </c>
      <c r="O152" s="20">
        <f t="shared" si="115"/>
        <v>1050.9000000000001</v>
      </c>
      <c r="P152" s="20">
        <f t="shared" si="115"/>
        <v>0</v>
      </c>
      <c r="Q152" s="20">
        <f t="shared" si="115"/>
        <v>0</v>
      </c>
      <c r="R152" s="20">
        <f t="shared" si="115"/>
        <v>1050.9000000000001</v>
      </c>
      <c r="S152" s="20">
        <f t="shared" si="115"/>
        <v>0</v>
      </c>
      <c r="T152" s="20">
        <f t="shared" si="115"/>
        <v>20909.099999999999</v>
      </c>
      <c r="U152" s="20">
        <f t="shared" si="115"/>
        <v>0</v>
      </c>
      <c r="V152" s="20">
        <f t="shared" si="115"/>
        <v>0</v>
      </c>
      <c r="W152" s="20">
        <f t="shared" si="115"/>
        <v>20909.099999999999</v>
      </c>
      <c r="X152" s="20">
        <f t="shared" si="115"/>
        <v>0</v>
      </c>
      <c r="Y152" s="20">
        <f t="shared" si="115"/>
        <v>0</v>
      </c>
      <c r="Z152" s="20">
        <f t="shared" si="115"/>
        <v>0</v>
      </c>
      <c r="AA152" s="20">
        <f t="shared" si="115"/>
        <v>0</v>
      </c>
      <c r="AB152" s="20">
        <f t="shared" si="115"/>
        <v>0</v>
      </c>
      <c r="AC152" s="20">
        <f t="shared" si="115"/>
        <v>0</v>
      </c>
      <c r="AD152" s="20">
        <f t="shared" si="115"/>
        <v>0</v>
      </c>
      <c r="AE152" s="20">
        <f t="shared" si="115"/>
        <v>0</v>
      </c>
      <c r="AF152" s="20">
        <f t="shared" si="115"/>
        <v>0</v>
      </c>
      <c r="AG152" s="20">
        <f t="shared" si="115"/>
        <v>0</v>
      </c>
      <c r="AH152" s="20">
        <f t="shared" si="115"/>
        <v>0</v>
      </c>
      <c r="AI152" s="20">
        <f t="shared" si="115"/>
        <v>0</v>
      </c>
      <c r="AJ152" s="20">
        <f t="shared" si="115"/>
        <v>0</v>
      </c>
      <c r="AK152" s="20">
        <f t="shared" si="115"/>
        <v>0</v>
      </c>
      <c r="AL152" s="20">
        <f t="shared" si="115"/>
        <v>0</v>
      </c>
      <c r="AM152" s="20">
        <f t="shared" si="115"/>
        <v>0</v>
      </c>
    </row>
    <row r="153" spans="1:39" s="2" customFormat="1" ht="78.75" outlineLevel="3" x14ac:dyDescent="0.25">
      <c r="A153" s="8" t="s">
        <v>87</v>
      </c>
      <c r="B153" s="17" t="s">
        <v>14</v>
      </c>
      <c r="C153" s="24" t="s">
        <v>377</v>
      </c>
      <c r="D153" s="26" t="s">
        <v>8</v>
      </c>
      <c r="E153" s="20">
        <f>SUM(F153:I153)</f>
        <v>13133.4</v>
      </c>
      <c r="F153" s="38">
        <f>K153+P153+U153</f>
        <v>0</v>
      </c>
      <c r="G153" s="38">
        <f t="shared" ref="G153:I155" si="116">L153+Q153+V153+AA153+AF153+AK153</f>
        <v>0</v>
      </c>
      <c r="H153" s="38">
        <f t="shared" si="116"/>
        <v>13133.4</v>
      </c>
      <c r="I153" s="38">
        <f t="shared" si="116"/>
        <v>0</v>
      </c>
      <c r="J153" s="18">
        <f>SUM(K153:N153)</f>
        <v>13133.4</v>
      </c>
      <c r="K153" s="19">
        <v>0</v>
      </c>
      <c r="L153" s="19">
        <v>0</v>
      </c>
      <c r="M153" s="38">
        <v>13133.4</v>
      </c>
      <c r="N153" s="38">
        <v>0</v>
      </c>
      <c r="O153" s="18">
        <f>SUM(P153:S153)</f>
        <v>0</v>
      </c>
      <c r="P153" s="19">
        <v>0</v>
      </c>
      <c r="Q153" s="38">
        <v>0</v>
      </c>
      <c r="R153" s="38">
        <v>0</v>
      </c>
      <c r="S153" s="38">
        <v>0</v>
      </c>
      <c r="T153" s="18">
        <f>SUM(U153:X153)</f>
        <v>0</v>
      </c>
      <c r="U153" s="19">
        <v>0</v>
      </c>
      <c r="V153" s="19">
        <v>0</v>
      </c>
      <c r="W153" s="19">
        <v>0</v>
      </c>
      <c r="X153" s="19">
        <v>0</v>
      </c>
      <c r="Y153" s="18">
        <f>SUM(Z153:AC153)</f>
        <v>0</v>
      </c>
      <c r="Z153" s="19">
        <v>0</v>
      </c>
      <c r="AA153" s="19">
        <v>0</v>
      </c>
      <c r="AB153" s="19">
        <v>0</v>
      </c>
      <c r="AC153" s="19">
        <v>0</v>
      </c>
      <c r="AD153" s="18">
        <f>SUM(AE153:AH153)</f>
        <v>0</v>
      </c>
      <c r="AE153" s="19">
        <v>0</v>
      </c>
      <c r="AF153" s="38">
        <f>AK153+AP153+AU153</f>
        <v>0</v>
      </c>
      <c r="AG153" s="19">
        <v>0</v>
      </c>
      <c r="AH153" s="38">
        <f>AM153+AR153+AW153</f>
        <v>0</v>
      </c>
      <c r="AI153" s="18">
        <f>SUM(AJ153:AM153)</f>
        <v>0</v>
      </c>
      <c r="AJ153" s="19">
        <v>0</v>
      </c>
      <c r="AK153" s="38">
        <v>0</v>
      </c>
      <c r="AL153" s="38">
        <v>0</v>
      </c>
      <c r="AM153" s="38">
        <v>0</v>
      </c>
    </row>
    <row r="154" spans="1:39" s="2" customFormat="1" ht="47.25" outlineLevel="3" x14ac:dyDescent="0.25">
      <c r="A154" s="8" t="s">
        <v>88</v>
      </c>
      <c r="B154" s="9" t="s">
        <v>308</v>
      </c>
      <c r="C154" s="26" t="s">
        <v>31</v>
      </c>
      <c r="D154" s="26" t="s">
        <v>8</v>
      </c>
      <c r="E154" s="20">
        <f>SUM(F154:I154)</f>
        <v>450</v>
      </c>
      <c r="F154" s="20">
        <f>K154</f>
        <v>0</v>
      </c>
      <c r="G154" s="38">
        <f t="shared" si="116"/>
        <v>0</v>
      </c>
      <c r="H154" s="38">
        <f t="shared" si="116"/>
        <v>450</v>
      </c>
      <c r="I154" s="38">
        <f t="shared" si="116"/>
        <v>0</v>
      </c>
      <c r="J154" s="18">
        <f>SUM(K154:N154)</f>
        <v>450</v>
      </c>
      <c r="K154" s="19">
        <v>0</v>
      </c>
      <c r="L154" s="19">
        <v>0</v>
      </c>
      <c r="M154" s="38">
        <f>601.1-151.1</f>
        <v>450</v>
      </c>
      <c r="N154" s="20">
        <v>0</v>
      </c>
      <c r="O154" s="18">
        <f>SUM(P154:S154)</f>
        <v>0</v>
      </c>
      <c r="P154" s="19">
        <v>0</v>
      </c>
      <c r="Q154" s="38">
        <v>0</v>
      </c>
      <c r="R154" s="38">
        <v>0</v>
      </c>
      <c r="S154" s="38">
        <v>0</v>
      </c>
      <c r="T154" s="18">
        <f>SUM(U154:X154)</f>
        <v>0</v>
      </c>
      <c r="U154" s="19">
        <v>0</v>
      </c>
      <c r="V154" s="19">
        <v>0</v>
      </c>
      <c r="W154" s="19">
        <v>0</v>
      </c>
      <c r="X154" s="19">
        <v>0</v>
      </c>
      <c r="Y154" s="18">
        <f>SUM(Z154:AC154)</f>
        <v>0</v>
      </c>
      <c r="Z154" s="19">
        <v>0</v>
      </c>
      <c r="AA154" s="19">
        <v>0</v>
      </c>
      <c r="AB154" s="19">
        <v>0</v>
      </c>
      <c r="AC154" s="19">
        <v>0</v>
      </c>
      <c r="AD154" s="18">
        <f>SUM(AE154:AH154)</f>
        <v>0</v>
      </c>
      <c r="AE154" s="19">
        <v>0</v>
      </c>
      <c r="AF154" s="20">
        <f>AK154</f>
        <v>0</v>
      </c>
      <c r="AG154" s="19">
        <v>0</v>
      </c>
      <c r="AH154" s="20">
        <f>AM154</f>
        <v>0</v>
      </c>
      <c r="AI154" s="18">
        <f>SUM(AJ154:AM154)</f>
        <v>0</v>
      </c>
      <c r="AJ154" s="19">
        <v>0</v>
      </c>
      <c r="AK154" s="20">
        <v>0</v>
      </c>
      <c r="AL154" s="38">
        <v>0</v>
      </c>
      <c r="AM154" s="38">
        <v>0</v>
      </c>
    </row>
    <row r="155" spans="1:39" s="2" customFormat="1" ht="31.5" outlineLevel="3" x14ac:dyDescent="0.25">
      <c r="A155" s="8" t="s">
        <v>307</v>
      </c>
      <c r="B155" s="28" t="s">
        <v>535</v>
      </c>
      <c r="C155" s="26" t="s">
        <v>32</v>
      </c>
      <c r="D155" s="26" t="s">
        <v>8</v>
      </c>
      <c r="E155" s="20">
        <f>SUM(F155:I155)</f>
        <v>1050.9000000000001</v>
      </c>
      <c r="F155" s="38">
        <f>K155+P155+U155+Z155+AE155+AJ155</f>
        <v>0</v>
      </c>
      <c r="G155" s="38">
        <f t="shared" si="116"/>
        <v>0</v>
      </c>
      <c r="H155" s="38">
        <f t="shared" si="116"/>
        <v>1050.9000000000001</v>
      </c>
      <c r="I155" s="38">
        <f t="shared" si="116"/>
        <v>0</v>
      </c>
      <c r="J155" s="18">
        <f>SUM(K155:N155)</f>
        <v>0</v>
      </c>
      <c r="K155" s="19">
        <v>0</v>
      </c>
      <c r="L155" s="19">
        <v>0</v>
      </c>
      <c r="M155" s="38">
        <v>0</v>
      </c>
      <c r="N155" s="20">
        <v>0</v>
      </c>
      <c r="O155" s="18">
        <f>SUM(P155:S155)</f>
        <v>1050.9000000000001</v>
      </c>
      <c r="P155" s="19">
        <v>0</v>
      </c>
      <c r="Q155" s="38">
        <v>0</v>
      </c>
      <c r="R155" s="38">
        <f>1100.9-50</f>
        <v>1050.9000000000001</v>
      </c>
      <c r="S155" s="38">
        <v>0</v>
      </c>
      <c r="T155" s="18">
        <f>SUM(U155:X155)</f>
        <v>0</v>
      </c>
      <c r="U155" s="19">
        <v>0</v>
      </c>
      <c r="V155" s="19">
        <v>0</v>
      </c>
      <c r="W155" s="19">
        <v>0</v>
      </c>
      <c r="X155" s="19">
        <v>0</v>
      </c>
      <c r="Y155" s="18">
        <f>SUM(Z155:AC155)</f>
        <v>0</v>
      </c>
      <c r="Z155" s="19">
        <v>0</v>
      </c>
      <c r="AA155" s="19">
        <v>0</v>
      </c>
      <c r="AB155" s="19">
        <v>0</v>
      </c>
      <c r="AC155" s="19">
        <v>0</v>
      </c>
      <c r="AD155" s="18">
        <f>SUM(AE155:AH155)</f>
        <v>0</v>
      </c>
      <c r="AE155" s="19">
        <v>0</v>
      </c>
      <c r="AF155" s="20">
        <v>0</v>
      </c>
      <c r="AG155" s="19">
        <v>0</v>
      </c>
      <c r="AH155" s="20">
        <v>0</v>
      </c>
      <c r="AI155" s="18">
        <f>SUM(AJ155:AM155)</f>
        <v>0</v>
      </c>
      <c r="AJ155" s="19">
        <v>0</v>
      </c>
      <c r="AK155" s="20">
        <v>0</v>
      </c>
      <c r="AL155" s="38">
        <v>0</v>
      </c>
      <c r="AM155" s="38">
        <v>0</v>
      </c>
    </row>
    <row r="156" spans="1:39" s="2" customFormat="1" ht="47.25" outlineLevel="3" x14ac:dyDescent="0.25">
      <c r="A156" s="8" t="s">
        <v>789</v>
      </c>
      <c r="B156" s="28" t="s">
        <v>870</v>
      </c>
      <c r="C156" s="26" t="s">
        <v>32</v>
      </c>
      <c r="D156" s="26" t="s">
        <v>8</v>
      </c>
      <c r="E156" s="20">
        <f>SUM(F156:I156)</f>
        <v>909.1</v>
      </c>
      <c r="F156" s="38">
        <f>K156+P156+U156+Z156+AE156+AJ156</f>
        <v>0</v>
      </c>
      <c r="G156" s="38">
        <f>L156+Q156+V156+AA156+AF156+AK156</f>
        <v>0</v>
      </c>
      <c r="H156" s="38">
        <f>M156+R156+W156+AB156+AG156+AL156</f>
        <v>909.1</v>
      </c>
      <c r="I156" s="38"/>
      <c r="J156" s="18"/>
      <c r="K156" s="19"/>
      <c r="L156" s="19"/>
      <c r="M156" s="38"/>
      <c r="N156" s="20"/>
      <c r="O156" s="18"/>
      <c r="P156" s="19"/>
      <c r="Q156" s="38"/>
      <c r="R156" s="38"/>
      <c r="S156" s="38"/>
      <c r="T156" s="18">
        <f>W156</f>
        <v>909.1</v>
      </c>
      <c r="U156" s="19"/>
      <c r="V156" s="19"/>
      <c r="W156" s="19">
        <f>999-89.9</f>
        <v>909.1</v>
      </c>
      <c r="X156" s="19"/>
      <c r="Y156" s="18"/>
      <c r="Z156" s="19"/>
      <c r="AA156" s="19"/>
      <c r="AB156" s="19"/>
      <c r="AC156" s="19"/>
      <c r="AD156" s="18"/>
      <c r="AE156" s="19"/>
      <c r="AF156" s="20"/>
      <c r="AG156" s="19"/>
      <c r="AH156" s="20"/>
      <c r="AI156" s="18"/>
      <c r="AJ156" s="19"/>
      <c r="AK156" s="20"/>
      <c r="AL156" s="38"/>
      <c r="AM156" s="38"/>
    </row>
    <row r="157" spans="1:39" s="2" customFormat="1" ht="54" customHeight="1" outlineLevel="3" x14ac:dyDescent="0.25">
      <c r="A157" s="8" t="s">
        <v>869</v>
      </c>
      <c r="B157" s="28" t="s">
        <v>790</v>
      </c>
      <c r="C157" s="26" t="s">
        <v>32</v>
      </c>
      <c r="D157" s="26" t="s">
        <v>8</v>
      </c>
      <c r="E157" s="20">
        <f>SUM(F157:I157)</f>
        <v>20000</v>
      </c>
      <c r="F157" s="38">
        <f>K157+P157+U157+Z157+AE157+AJ157</f>
        <v>0</v>
      </c>
      <c r="G157" s="38">
        <f>L157+Q157+V157+AA157+AF157+AK157</f>
        <v>0</v>
      </c>
      <c r="H157" s="38">
        <f>M157+R157+W157+AB157+AG157+AL157</f>
        <v>20000</v>
      </c>
      <c r="I157" s="38">
        <f>N157+S157+X157+AC157+AH157+AM157</f>
        <v>0</v>
      </c>
      <c r="J157" s="18">
        <f>SUM(K157:N157)</f>
        <v>0</v>
      </c>
      <c r="K157" s="19">
        <v>0</v>
      </c>
      <c r="L157" s="19">
        <v>0</v>
      </c>
      <c r="M157" s="38">
        <v>0</v>
      </c>
      <c r="N157" s="20">
        <v>0</v>
      </c>
      <c r="O157" s="18">
        <f>SUM(P157:S157)</f>
        <v>0</v>
      </c>
      <c r="P157" s="19">
        <v>0</v>
      </c>
      <c r="Q157" s="38">
        <v>0</v>
      </c>
      <c r="R157" s="38">
        <v>0</v>
      </c>
      <c r="S157" s="38">
        <v>0</v>
      </c>
      <c r="T157" s="18">
        <f>SUM(U157:X157)</f>
        <v>20000</v>
      </c>
      <c r="U157" s="19">
        <v>0</v>
      </c>
      <c r="V157" s="19">
        <v>0</v>
      </c>
      <c r="W157" s="19">
        <v>20000</v>
      </c>
      <c r="X157" s="19">
        <v>0</v>
      </c>
      <c r="Y157" s="18">
        <f>SUM(Z157:AC157)</f>
        <v>0</v>
      </c>
      <c r="Z157" s="19">
        <v>0</v>
      </c>
      <c r="AA157" s="19">
        <v>0</v>
      </c>
      <c r="AB157" s="19">
        <v>0</v>
      </c>
      <c r="AC157" s="19">
        <v>0</v>
      </c>
      <c r="AD157" s="18">
        <f>SUM(AE157:AH157)</f>
        <v>0</v>
      </c>
      <c r="AE157" s="19">
        <v>0</v>
      </c>
      <c r="AF157" s="20">
        <v>0</v>
      </c>
      <c r="AG157" s="19">
        <v>0</v>
      </c>
      <c r="AH157" s="20">
        <v>0</v>
      </c>
      <c r="AI157" s="18">
        <f>SUM(AJ157:AM157)</f>
        <v>0</v>
      </c>
      <c r="AJ157" s="19">
        <v>0</v>
      </c>
      <c r="AK157" s="20">
        <v>0</v>
      </c>
      <c r="AL157" s="38">
        <v>0</v>
      </c>
      <c r="AM157" s="38">
        <v>0</v>
      </c>
    </row>
    <row r="158" spans="1:39" s="2" customFormat="1" ht="52.5" customHeight="1" outlineLevel="2" x14ac:dyDescent="0.25">
      <c r="A158" s="138" t="s">
        <v>80</v>
      </c>
      <c r="B158" s="175" t="s">
        <v>801</v>
      </c>
      <c r="C158" s="175"/>
      <c r="D158" s="176"/>
      <c r="E158" s="20">
        <f t="shared" ref="E158:X158" si="117">SUM(E159:E167)</f>
        <v>10171.500000000002</v>
      </c>
      <c r="F158" s="20">
        <f t="shared" si="117"/>
        <v>0</v>
      </c>
      <c r="G158" s="20">
        <f t="shared" si="117"/>
        <v>0</v>
      </c>
      <c r="H158" s="20">
        <f t="shared" si="117"/>
        <v>10171.500000000002</v>
      </c>
      <c r="I158" s="20">
        <f t="shared" si="117"/>
        <v>0</v>
      </c>
      <c r="J158" s="20">
        <f t="shared" si="117"/>
        <v>4709</v>
      </c>
      <c r="K158" s="20">
        <f t="shared" si="117"/>
        <v>0</v>
      </c>
      <c r="L158" s="20">
        <f t="shared" si="117"/>
        <v>0</v>
      </c>
      <c r="M158" s="20">
        <f t="shared" si="117"/>
        <v>4709</v>
      </c>
      <c r="N158" s="20">
        <f t="shared" si="117"/>
        <v>0</v>
      </c>
      <c r="O158" s="20">
        <f t="shared" si="117"/>
        <v>2498.1999999999998</v>
      </c>
      <c r="P158" s="20">
        <f t="shared" si="117"/>
        <v>0</v>
      </c>
      <c r="Q158" s="20">
        <f t="shared" si="117"/>
        <v>0</v>
      </c>
      <c r="R158" s="20">
        <f t="shared" si="117"/>
        <v>2498.1999999999998</v>
      </c>
      <c r="S158" s="20">
        <f t="shared" si="117"/>
        <v>0</v>
      </c>
      <c r="T158" s="20">
        <f t="shared" si="117"/>
        <v>2964.3</v>
      </c>
      <c r="U158" s="20">
        <f t="shared" si="117"/>
        <v>0</v>
      </c>
      <c r="V158" s="20">
        <f t="shared" si="117"/>
        <v>0</v>
      </c>
      <c r="W158" s="20">
        <f t="shared" si="117"/>
        <v>2964.3</v>
      </c>
      <c r="X158" s="20">
        <f t="shared" si="117"/>
        <v>0</v>
      </c>
      <c r="Y158" s="20">
        <f t="shared" ref="Y158:AM158" si="118">SUM(Y159:Y165)</f>
        <v>0</v>
      </c>
      <c r="Z158" s="20">
        <f t="shared" si="118"/>
        <v>0</v>
      </c>
      <c r="AA158" s="20">
        <f t="shared" si="118"/>
        <v>0</v>
      </c>
      <c r="AB158" s="20">
        <f t="shared" si="118"/>
        <v>0</v>
      </c>
      <c r="AC158" s="20">
        <f t="shared" si="118"/>
        <v>0</v>
      </c>
      <c r="AD158" s="20">
        <f t="shared" si="118"/>
        <v>0</v>
      </c>
      <c r="AE158" s="20">
        <f t="shared" si="118"/>
        <v>0</v>
      </c>
      <c r="AF158" s="20">
        <f t="shared" si="118"/>
        <v>0</v>
      </c>
      <c r="AG158" s="20">
        <f t="shared" si="118"/>
        <v>0</v>
      </c>
      <c r="AH158" s="20">
        <f t="shared" si="118"/>
        <v>0</v>
      </c>
      <c r="AI158" s="20">
        <f t="shared" si="118"/>
        <v>0</v>
      </c>
      <c r="AJ158" s="20">
        <f t="shared" si="118"/>
        <v>0</v>
      </c>
      <c r="AK158" s="20">
        <f t="shared" si="118"/>
        <v>0</v>
      </c>
      <c r="AL158" s="20">
        <f t="shared" si="118"/>
        <v>0</v>
      </c>
      <c r="AM158" s="20">
        <f t="shared" si="118"/>
        <v>0</v>
      </c>
    </row>
    <row r="159" spans="1:39" s="2" customFormat="1" ht="78.75" outlineLevel="3" x14ac:dyDescent="0.25">
      <c r="A159" s="8" t="s">
        <v>81</v>
      </c>
      <c r="B159" s="17" t="s">
        <v>397</v>
      </c>
      <c r="C159" s="24" t="s">
        <v>377</v>
      </c>
      <c r="D159" s="26" t="s">
        <v>118</v>
      </c>
      <c r="E159" s="20">
        <f t="shared" ref="E159:E167" si="119">SUM(F159:I159)</f>
        <v>1220.2</v>
      </c>
      <c r="F159" s="20">
        <f>K159</f>
        <v>0</v>
      </c>
      <c r="G159" s="38">
        <f>L159+Q159+V159+AA159+AF159+AK159</f>
        <v>0</v>
      </c>
      <c r="H159" s="38">
        <f>M159+R159+W159+AB159+AG159+AL159</f>
        <v>1220.2</v>
      </c>
      <c r="I159" s="38">
        <f>N159+S159+X159+AC159+AH159+AM159</f>
        <v>0</v>
      </c>
      <c r="J159" s="18">
        <f>SUM(K159:N159)</f>
        <v>1220.2</v>
      </c>
      <c r="K159" s="19">
        <v>0</v>
      </c>
      <c r="L159" s="19">
        <v>0</v>
      </c>
      <c r="M159" s="38">
        <f>1154.9+65.3</f>
        <v>1220.2</v>
      </c>
      <c r="N159" s="20">
        <v>0</v>
      </c>
      <c r="O159" s="18">
        <f t="shared" ref="O159:O165" si="120">SUM(P159:S159)</f>
        <v>0</v>
      </c>
      <c r="P159" s="19">
        <v>0</v>
      </c>
      <c r="Q159" s="38">
        <v>0</v>
      </c>
      <c r="R159" s="38">
        <v>0</v>
      </c>
      <c r="S159" s="38">
        <v>0</v>
      </c>
      <c r="T159" s="18">
        <f>SUM(U159:X159)</f>
        <v>0</v>
      </c>
      <c r="U159" s="19">
        <v>0</v>
      </c>
      <c r="V159" s="19">
        <v>0</v>
      </c>
      <c r="W159" s="19">
        <v>0</v>
      </c>
      <c r="X159" s="19">
        <v>0</v>
      </c>
      <c r="Y159" s="18">
        <f>SUM(Z159:AC159)</f>
        <v>0</v>
      </c>
      <c r="Z159" s="19">
        <v>0</v>
      </c>
      <c r="AA159" s="19">
        <v>0</v>
      </c>
      <c r="AB159" s="19">
        <v>0</v>
      </c>
      <c r="AC159" s="19">
        <v>0</v>
      </c>
      <c r="AD159" s="18">
        <f>SUM(AE159:AH159)</f>
        <v>0</v>
      </c>
      <c r="AE159" s="19">
        <v>0</v>
      </c>
      <c r="AF159" s="20">
        <f>AK159</f>
        <v>0</v>
      </c>
      <c r="AG159" s="19">
        <v>0</v>
      </c>
      <c r="AH159" s="20">
        <f t="shared" ref="AH159:AH165" si="121">AM159</f>
        <v>0</v>
      </c>
      <c r="AI159" s="18">
        <f>SUM(AJ159:AM159)</f>
        <v>0</v>
      </c>
      <c r="AJ159" s="19">
        <v>0</v>
      </c>
      <c r="AK159" s="20">
        <v>0</v>
      </c>
      <c r="AL159" s="38">
        <v>0</v>
      </c>
      <c r="AM159" s="38">
        <v>0</v>
      </c>
    </row>
    <row r="160" spans="1:39" s="2" customFormat="1" ht="110.25" outlineLevel="3" x14ac:dyDescent="0.25">
      <c r="A160" s="8" t="s">
        <v>82</v>
      </c>
      <c r="B160" s="27" t="s">
        <v>354</v>
      </c>
      <c r="C160" s="26" t="s">
        <v>377</v>
      </c>
      <c r="D160" s="26" t="s">
        <v>118</v>
      </c>
      <c r="E160" s="20">
        <f t="shared" si="119"/>
        <v>1178.9000000000001</v>
      </c>
      <c r="F160" s="20">
        <f>K160</f>
        <v>0</v>
      </c>
      <c r="G160" s="38">
        <f t="shared" ref="F160:I163" si="122">L160+Q160+V160+AA160+AF160+AK160</f>
        <v>0</v>
      </c>
      <c r="H160" s="38">
        <f t="shared" si="122"/>
        <v>1178.9000000000001</v>
      </c>
      <c r="I160" s="38">
        <f t="shared" si="122"/>
        <v>0</v>
      </c>
      <c r="J160" s="18">
        <f t="shared" ref="J160:J165" si="123">SUM(K160:N160)</f>
        <v>1178.9000000000001</v>
      </c>
      <c r="K160" s="19">
        <v>0</v>
      </c>
      <c r="L160" s="19">
        <v>0</v>
      </c>
      <c r="M160" s="38">
        <v>1178.9000000000001</v>
      </c>
      <c r="N160" s="20">
        <v>0</v>
      </c>
      <c r="O160" s="18">
        <f t="shared" si="120"/>
        <v>0</v>
      </c>
      <c r="P160" s="19">
        <v>0</v>
      </c>
      <c r="Q160" s="38">
        <v>0</v>
      </c>
      <c r="R160" s="38">
        <v>0</v>
      </c>
      <c r="S160" s="38">
        <v>0</v>
      </c>
      <c r="T160" s="18">
        <f t="shared" ref="T160:T165" si="124">SUM(U160:X160)</f>
        <v>0</v>
      </c>
      <c r="U160" s="19">
        <v>0</v>
      </c>
      <c r="V160" s="19">
        <v>0</v>
      </c>
      <c r="W160" s="19">
        <v>0</v>
      </c>
      <c r="X160" s="19">
        <v>0</v>
      </c>
      <c r="Y160" s="18">
        <f t="shared" ref="Y160:Y165" si="125">SUM(Z160:AC160)</f>
        <v>0</v>
      </c>
      <c r="Z160" s="19">
        <v>0</v>
      </c>
      <c r="AA160" s="19">
        <v>0</v>
      </c>
      <c r="AB160" s="19">
        <v>0</v>
      </c>
      <c r="AC160" s="19">
        <v>0</v>
      </c>
      <c r="AD160" s="18">
        <f t="shared" ref="AD160:AD165" si="126">SUM(AE160:AH160)</f>
        <v>0</v>
      </c>
      <c r="AE160" s="19">
        <v>0</v>
      </c>
      <c r="AF160" s="20">
        <f>AK160</f>
        <v>0</v>
      </c>
      <c r="AG160" s="19">
        <v>0</v>
      </c>
      <c r="AH160" s="20">
        <f t="shared" si="121"/>
        <v>0</v>
      </c>
      <c r="AI160" s="18">
        <f t="shared" ref="AI160:AI165" si="127">SUM(AJ160:AM160)</f>
        <v>0</v>
      </c>
      <c r="AJ160" s="19">
        <v>0</v>
      </c>
      <c r="AK160" s="20">
        <v>0</v>
      </c>
      <c r="AL160" s="38">
        <v>0</v>
      </c>
      <c r="AM160" s="38">
        <v>0</v>
      </c>
    </row>
    <row r="161" spans="1:39" s="2" customFormat="1" ht="94.5" outlineLevel="3" x14ac:dyDescent="0.25">
      <c r="A161" s="8" t="s">
        <v>83</v>
      </c>
      <c r="B161" s="27" t="s">
        <v>385</v>
      </c>
      <c r="C161" s="26" t="s">
        <v>377</v>
      </c>
      <c r="D161" s="26" t="s">
        <v>118</v>
      </c>
      <c r="E161" s="20">
        <f t="shared" si="119"/>
        <v>1154.9000000000001</v>
      </c>
      <c r="F161" s="20">
        <f>K161</f>
        <v>0</v>
      </c>
      <c r="G161" s="38">
        <f t="shared" si="122"/>
        <v>0</v>
      </c>
      <c r="H161" s="38">
        <f t="shared" si="122"/>
        <v>1154.9000000000001</v>
      </c>
      <c r="I161" s="38">
        <f t="shared" si="122"/>
        <v>0</v>
      </c>
      <c r="J161" s="18">
        <f t="shared" si="123"/>
        <v>1154.9000000000001</v>
      </c>
      <c r="K161" s="19">
        <v>0</v>
      </c>
      <c r="L161" s="19">
        <v>0</v>
      </c>
      <c r="M161" s="38">
        <v>1154.9000000000001</v>
      </c>
      <c r="N161" s="20">
        <v>0</v>
      </c>
      <c r="O161" s="18">
        <f t="shared" si="120"/>
        <v>0</v>
      </c>
      <c r="P161" s="19">
        <v>0</v>
      </c>
      <c r="Q161" s="38">
        <v>0</v>
      </c>
      <c r="R161" s="38">
        <v>0</v>
      </c>
      <c r="S161" s="38">
        <v>0</v>
      </c>
      <c r="T161" s="18">
        <f t="shared" si="124"/>
        <v>0</v>
      </c>
      <c r="U161" s="19">
        <v>0</v>
      </c>
      <c r="V161" s="19">
        <v>0</v>
      </c>
      <c r="W161" s="19">
        <v>0</v>
      </c>
      <c r="X161" s="19">
        <v>0</v>
      </c>
      <c r="Y161" s="18">
        <f t="shared" si="125"/>
        <v>0</v>
      </c>
      <c r="Z161" s="19">
        <v>0</v>
      </c>
      <c r="AA161" s="19">
        <v>0</v>
      </c>
      <c r="AB161" s="19">
        <v>0</v>
      </c>
      <c r="AC161" s="19">
        <v>0</v>
      </c>
      <c r="AD161" s="18">
        <f t="shared" si="126"/>
        <v>0</v>
      </c>
      <c r="AE161" s="19">
        <v>0</v>
      </c>
      <c r="AF161" s="20">
        <v>0</v>
      </c>
      <c r="AG161" s="19">
        <v>0</v>
      </c>
      <c r="AH161" s="20">
        <f t="shared" si="121"/>
        <v>0</v>
      </c>
      <c r="AI161" s="18">
        <f t="shared" si="127"/>
        <v>0</v>
      </c>
      <c r="AJ161" s="19">
        <v>0</v>
      </c>
      <c r="AK161" s="20">
        <v>0</v>
      </c>
      <c r="AL161" s="38">
        <v>0</v>
      </c>
      <c r="AM161" s="38">
        <v>0</v>
      </c>
    </row>
    <row r="162" spans="1:39" s="2" customFormat="1" ht="94.5" outlineLevel="3" x14ac:dyDescent="0.25">
      <c r="A162" s="8" t="s">
        <v>560</v>
      </c>
      <c r="B162" s="28" t="s">
        <v>390</v>
      </c>
      <c r="C162" s="26" t="s">
        <v>32</v>
      </c>
      <c r="D162" s="26" t="s">
        <v>118</v>
      </c>
      <c r="E162" s="20">
        <f t="shared" si="119"/>
        <v>1155</v>
      </c>
      <c r="F162" s="38">
        <f>K162+P162+U162+Z162+AE162+AJ162</f>
        <v>0</v>
      </c>
      <c r="G162" s="38">
        <f>L162+Q162+V162+AA162+AF162+AK162</f>
        <v>0</v>
      </c>
      <c r="H162" s="38">
        <f>M162+R162+W162+AB162+AG162+AL162</f>
        <v>1155</v>
      </c>
      <c r="I162" s="38">
        <f>N162+S162+X162+AC162+AH162+AM162</f>
        <v>0</v>
      </c>
      <c r="J162" s="18">
        <f t="shared" si="123"/>
        <v>1155</v>
      </c>
      <c r="K162" s="19">
        <v>0</v>
      </c>
      <c r="L162" s="19">
        <v>0</v>
      </c>
      <c r="M162" s="38">
        <v>1155</v>
      </c>
      <c r="N162" s="20">
        <v>0</v>
      </c>
      <c r="O162" s="18">
        <f t="shared" si="120"/>
        <v>0</v>
      </c>
      <c r="P162" s="19">
        <v>0</v>
      </c>
      <c r="Q162" s="38">
        <v>0</v>
      </c>
      <c r="R162" s="38">
        <v>0</v>
      </c>
      <c r="S162" s="38">
        <v>0</v>
      </c>
      <c r="T162" s="18">
        <f t="shared" si="124"/>
        <v>0</v>
      </c>
      <c r="U162" s="19">
        <v>0</v>
      </c>
      <c r="V162" s="19">
        <v>0</v>
      </c>
      <c r="W162" s="19">
        <v>0</v>
      </c>
      <c r="X162" s="19">
        <v>0</v>
      </c>
      <c r="Y162" s="18">
        <f t="shared" si="125"/>
        <v>0</v>
      </c>
      <c r="Z162" s="19">
        <v>0</v>
      </c>
      <c r="AA162" s="19">
        <v>0</v>
      </c>
      <c r="AB162" s="19">
        <v>0</v>
      </c>
      <c r="AC162" s="19">
        <v>0</v>
      </c>
      <c r="AD162" s="18">
        <f t="shared" si="126"/>
        <v>0</v>
      </c>
      <c r="AE162" s="19">
        <v>0</v>
      </c>
      <c r="AF162" s="20">
        <v>0</v>
      </c>
      <c r="AG162" s="19">
        <v>0</v>
      </c>
      <c r="AH162" s="20">
        <f t="shared" si="121"/>
        <v>0</v>
      </c>
      <c r="AI162" s="18">
        <f t="shared" si="127"/>
        <v>0</v>
      </c>
      <c r="AJ162" s="19">
        <v>0</v>
      </c>
      <c r="AK162" s="20">
        <v>0</v>
      </c>
      <c r="AL162" s="38">
        <v>0</v>
      </c>
      <c r="AM162" s="38">
        <v>0</v>
      </c>
    </row>
    <row r="163" spans="1:39" s="2" customFormat="1" ht="111" customHeight="1" outlineLevel="3" x14ac:dyDescent="0.25">
      <c r="A163" s="8" t="s">
        <v>561</v>
      </c>
      <c r="B163" s="28" t="s">
        <v>757</v>
      </c>
      <c r="C163" s="26" t="s">
        <v>32</v>
      </c>
      <c r="D163" s="26" t="s">
        <v>118</v>
      </c>
      <c r="E163" s="20">
        <f t="shared" si="119"/>
        <v>2466</v>
      </c>
      <c r="F163" s="38">
        <f t="shared" si="122"/>
        <v>0</v>
      </c>
      <c r="G163" s="38">
        <f t="shared" si="122"/>
        <v>0</v>
      </c>
      <c r="H163" s="38">
        <f t="shared" si="122"/>
        <v>2466</v>
      </c>
      <c r="I163" s="38">
        <f t="shared" si="122"/>
        <v>0</v>
      </c>
      <c r="J163" s="18">
        <f t="shared" si="123"/>
        <v>0</v>
      </c>
      <c r="K163" s="19">
        <v>0</v>
      </c>
      <c r="L163" s="19">
        <v>0</v>
      </c>
      <c r="M163" s="38">
        <v>0</v>
      </c>
      <c r="N163" s="20">
        <v>0</v>
      </c>
      <c r="O163" s="18">
        <f t="shared" si="120"/>
        <v>2466</v>
      </c>
      <c r="P163" s="19">
        <v>0</v>
      </c>
      <c r="Q163" s="38">
        <v>0</v>
      </c>
      <c r="R163" s="38">
        <f>3000-534</f>
        <v>2466</v>
      </c>
      <c r="S163" s="38">
        <v>0</v>
      </c>
      <c r="T163" s="18">
        <f t="shared" si="124"/>
        <v>0</v>
      </c>
      <c r="U163" s="19">
        <v>0</v>
      </c>
      <c r="V163" s="19">
        <v>0</v>
      </c>
      <c r="W163" s="19">
        <v>0</v>
      </c>
      <c r="X163" s="19">
        <v>0</v>
      </c>
      <c r="Y163" s="18">
        <f t="shared" si="125"/>
        <v>0</v>
      </c>
      <c r="Z163" s="19">
        <v>0</v>
      </c>
      <c r="AA163" s="19">
        <v>0</v>
      </c>
      <c r="AB163" s="19">
        <v>0</v>
      </c>
      <c r="AC163" s="19">
        <v>0</v>
      </c>
      <c r="AD163" s="18">
        <f t="shared" si="126"/>
        <v>0</v>
      </c>
      <c r="AE163" s="19">
        <v>0</v>
      </c>
      <c r="AF163" s="20">
        <v>0</v>
      </c>
      <c r="AG163" s="19">
        <v>0</v>
      </c>
      <c r="AH163" s="20">
        <f t="shared" si="121"/>
        <v>0</v>
      </c>
      <c r="AI163" s="18">
        <f t="shared" si="127"/>
        <v>0</v>
      </c>
      <c r="AJ163" s="19">
        <v>0</v>
      </c>
      <c r="AK163" s="20">
        <v>0</v>
      </c>
      <c r="AL163" s="38">
        <v>0</v>
      </c>
      <c r="AM163" s="38">
        <v>0</v>
      </c>
    </row>
    <row r="164" spans="1:39" s="2" customFormat="1" ht="110.25" outlineLevel="3" x14ac:dyDescent="0.25">
      <c r="A164" s="8" t="s">
        <v>567</v>
      </c>
      <c r="B164" s="28" t="s">
        <v>566</v>
      </c>
      <c r="C164" s="26" t="s">
        <v>32</v>
      </c>
      <c r="D164" s="26" t="s">
        <v>118</v>
      </c>
      <c r="E164" s="20">
        <f t="shared" si="119"/>
        <v>1488.7</v>
      </c>
      <c r="F164" s="38">
        <f t="shared" ref="F164:I165" si="128">K164+P164+U164+Z164+AE164+AJ164</f>
        <v>0</v>
      </c>
      <c r="G164" s="38">
        <f t="shared" si="128"/>
        <v>0</v>
      </c>
      <c r="H164" s="38">
        <f t="shared" si="128"/>
        <v>1488.7</v>
      </c>
      <c r="I164" s="38">
        <f t="shared" si="128"/>
        <v>0</v>
      </c>
      <c r="J164" s="18">
        <f t="shared" si="123"/>
        <v>0</v>
      </c>
      <c r="K164" s="19">
        <v>0</v>
      </c>
      <c r="L164" s="19">
        <v>0</v>
      </c>
      <c r="M164" s="38">
        <v>0</v>
      </c>
      <c r="N164" s="20">
        <v>0</v>
      </c>
      <c r="O164" s="18">
        <f t="shared" si="120"/>
        <v>0</v>
      </c>
      <c r="P164" s="19">
        <v>0</v>
      </c>
      <c r="Q164" s="38">
        <v>0</v>
      </c>
      <c r="R164" s="38">
        <v>0</v>
      </c>
      <c r="S164" s="38">
        <v>0</v>
      </c>
      <c r="T164" s="18">
        <f t="shared" si="124"/>
        <v>1488.7</v>
      </c>
      <c r="U164" s="19">
        <v>0</v>
      </c>
      <c r="V164" s="19">
        <v>0</v>
      </c>
      <c r="W164" s="19">
        <v>1488.7</v>
      </c>
      <c r="X164" s="19">
        <v>0</v>
      </c>
      <c r="Y164" s="18">
        <f t="shared" si="125"/>
        <v>0</v>
      </c>
      <c r="Z164" s="19">
        <v>0</v>
      </c>
      <c r="AA164" s="19">
        <v>0</v>
      </c>
      <c r="AB164" s="19">
        <v>0</v>
      </c>
      <c r="AC164" s="19">
        <v>0</v>
      </c>
      <c r="AD164" s="18">
        <f t="shared" si="126"/>
        <v>0</v>
      </c>
      <c r="AE164" s="19">
        <v>0</v>
      </c>
      <c r="AF164" s="20">
        <v>0</v>
      </c>
      <c r="AG164" s="19">
        <v>0</v>
      </c>
      <c r="AH164" s="20">
        <f t="shared" si="121"/>
        <v>0</v>
      </c>
      <c r="AI164" s="18">
        <f t="shared" si="127"/>
        <v>0</v>
      </c>
      <c r="AJ164" s="19">
        <v>0</v>
      </c>
      <c r="AK164" s="20">
        <v>0</v>
      </c>
      <c r="AL164" s="38">
        <v>0</v>
      </c>
      <c r="AM164" s="38">
        <v>0</v>
      </c>
    </row>
    <row r="165" spans="1:39" s="2" customFormat="1" ht="47.25" outlineLevel="3" x14ac:dyDescent="0.25">
      <c r="A165" s="8" t="s">
        <v>802</v>
      </c>
      <c r="B165" s="28" t="s">
        <v>803</v>
      </c>
      <c r="C165" s="26" t="s">
        <v>32</v>
      </c>
      <c r="D165" s="26" t="s">
        <v>118</v>
      </c>
      <c r="E165" s="20">
        <f t="shared" si="119"/>
        <v>32.200000000000003</v>
      </c>
      <c r="F165" s="38">
        <f t="shared" si="128"/>
        <v>0</v>
      </c>
      <c r="G165" s="38">
        <f t="shared" si="128"/>
        <v>0</v>
      </c>
      <c r="H165" s="38">
        <f t="shared" si="128"/>
        <v>32.200000000000003</v>
      </c>
      <c r="I165" s="38">
        <f t="shared" si="128"/>
        <v>0</v>
      </c>
      <c r="J165" s="18">
        <f t="shared" si="123"/>
        <v>0</v>
      </c>
      <c r="K165" s="19">
        <v>0</v>
      </c>
      <c r="L165" s="19">
        <v>0</v>
      </c>
      <c r="M165" s="38">
        <v>0</v>
      </c>
      <c r="N165" s="20">
        <v>0</v>
      </c>
      <c r="O165" s="18">
        <f t="shared" si="120"/>
        <v>32.200000000000003</v>
      </c>
      <c r="P165" s="19">
        <v>0</v>
      </c>
      <c r="Q165" s="38">
        <v>0</v>
      </c>
      <c r="R165" s="38">
        <v>32.200000000000003</v>
      </c>
      <c r="S165" s="38">
        <v>0</v>
      </c>
      <c r="T165" s="18">
        <f t="shared" si="124"/>
        <v>0</v>
      </c>
      <c r="U165" s="19">
        <v>0</v>
      </c>
      <c r="V165" s="19">
        <v>0</v>
      </c>
      <c r="W165" s="19">
        <v>0</v>
      </c>
      <c r="X165" s="19">
        <v>0</v>
      </c>
      <c r="Y165" s="18">
        <f t="shared" si="125"/>
        <v>0</v>
      </c>
      <c r="Z165" s="19">
        <v>0</v>
      </c>
      <c r="AA165" s="19">
        <v>0</v>
      </c>
      <c r="AB165" s="19">
        <v>0</v>
      </c>
      <c r="AC165" s="19">
        <v>0</v>
      </c>
      <c r="AD165" s="18">
        <f t="shared" si="126"/>
        <v>0</v>
      </c>
      <c r="AE165" s="19">
        <v>0</v>
      </c>
      <c r="AF165" s="20">
        <v>0</v>
      </c>
      <c r="AG165" s="19">
        <v>0</v>
      </c>
      <c r="AH165" s="20">
        <f t="shared" si="121"/>
        <v>0</v>
      </c>
      <c r="AI165" s="18">
        <f t="shared" si="127"/>
        <v>0</v>
      </c>
      <c r="AJ165" s="19">
        <v>0</v>
      </c>
      <c r="AK165" s="20">
        <v>0</v>
      </c>
      <c r="AL165" s="38">
        <v>0</v>
      </c>
      <c r="AM165" s="38">
        <v>0</v>
      </c>
    </row>
    <row r="166" spans="1:39" s="2" customFormat="1" ht="63" outlineLevel="3" x14ac:dyDescent="0.25">
      <c r="A166" s="8" t="s">
        <v>846</v>
      </c>
      <c r="B166" s="28" t="s">
        <v>935</v>
      </c>
      <c r="C166" s="26" t="s">
        <v>32</v>
      </c>
      <c r="D166" s="26" t="s">
        <v>118</v>
      </c>
      <c r="E166" s="20">
        <f t="shared" si="119"/>
        <v>42.4</v>
      </c>
      <c r="F166" s="38">
        <f>K166+P166+U166+Z166+AE166+AJ166</f>
        <v>0</v>
      </c>
      <c r="G166" s="38">
        <f>L166+Q166+V166+AA166+AF166+AK166</f>
        <v>0</v>
      </c>
      <c r="H166" s="38">
        <f>M166+R166+W166+AB166+AG166+AL166</f>
        <v>42.4</v>
      </c>
      <c r="I166" s="38"/>
      <c r="J166" s="18"/>
      <c r="K166" s="19"/>
      <c r="L166" s="19"/>
      <c r="M166" s="38"/>
      <c r="N166" s="20"/>
      <c r="O166" s="18"/>
      <c r="P166" s="19"/>
      <c r="Q166" s="38"/>
      <c r="R166" s="38"/>
      <c r="S166" s="38"/>
      <c r="T166" s="18">
        <f>W166</f>
        <v>42.4</v>
      </c>
      <c r="U166" s="19"/>
      <c r="V166" s="19"/>
      <c r="W166" s="19">
        <v>42.4</v>
      </c>
      <c r="X166" s="19"/>
      <c r="Y166" s="18"/>
      <c r="Z166" s="19"/>
      <c r="AA166" s="19"/>
      <c r="AB166" s="19"/>
      <c r="AC166" s="19"/>
      <c r="AD166" s="18"/>
      <c r="AE166" s="19"/>
      <c r="AF166" s="20"/>
      <c r="AG166" s="19"/>
      <c r="AH166" s="20"/>
      <c r="AI166" s="18"/>
      <c r="AJ166" s="19"/>
      <c r="AK166" s="20"/>
      <c r="AL166" s="38"/>
      <c r="AM166" s="38"/>
    </row>
    <row r="167" spans="1:39" s="2" customFormat="1" ht="78.75" outlineLevel="3" x14ac:dyDescent="0.25">
      <c r="A167" s="8" t="s">
        <v>934</v>
      </c>
      <c r="B167" s="28" t="s">
        <v>847</v>
      </c>
      <c r="C167" s="26" t="s">
        <v>32</v>
      </c>
      <c r="D167" s="26" t="s">
        <v>118</v>
      </c>
      <c r="E167" s="20">
        <f t="shared" si="119"/>
        <v>1433.2</v>
      </c>
      <c r="F167" s="38"/>
      <c r="G167" s="38"/>
      <c r="H167" s="38">
        <f>M167+R167+W167+AB167+AG167+AL167</f>
        <v>1433.2</v>
      </c>
      <c r="I167" s="38"/>
      <c r="J167" s="18"/>
      <c r="K167" s="19"/>
      <c r="L167" s="19"/>
      <c r="M167" s="38"/>
      <c r="N167" s="20"/>
      <c r="O167" s="18"/>
      <c r="P167" s="19"/>
      <c r="Q167" s="38"/>
      <c r="R167" s="38"/>
      <c r="S167" s="38"/>
      <c r="T167" s="18">
        <f>W167</f>
        <v>1433.2</v>
      </c>
      <c r="U167" s="19"/>
      <c r="V167" s="19"/>
      <c r="W167" s="19">
        <f>1800-366.8</f>
        <v>1433.2</v>
      </c>
      <c r="X167" s="19"/>
      <c r="Y167" s="18"/>
      <c r="Z167" s="19"/>
      <c r="AA167" s="19"/>
      <c r="AB167" s="19"/>
      <c r="AC167" s="19"/>
      <c r="AD167" s="18"/>
      <c r="AE167" s="19"/>
      <c r="AF167" s="20"/>
      <c r="AG167" s="19"/>
      <c r="AH167" s="20"/>
      <c r="AI167" s="18"/>
      <c r="AJ167" s="19"/>
      <c r="AK167" s="20"/>
      <c r="AL167" s="38"/>
      <c r="AM167" s="38"/>
    </row>
    <row r="168" spans="1:39" s="2" customFormat="1" ht="54" customHeight="1" outlineLevel="2" x14ac:dyDescent="0.25">
      <c r="A168" s="138" t="s">
        <v>547</v>
      </c>
      <c r="B168" s="175" t="s">
        <v>546</v>
      </c>
      <c r="C168" s="175"/>
      <c r="D168" s="176"/>
      <c r="E168" s="20">
        <f t="shared" ref="E168:X168" si="129">SUM(E169:E180)</f>
        <v>7145.3000000000011</v>
      </c>
      <c r="F168" s="20">
        <f t="shared" si="129"/>
        <v>0</v>
      </c>
      <c r="G168" s="20">
        <f t="shared" si="129"/>
        <v>0</v>
      </c>
      <c r="H168" s="20">
        <f t="shared" si="129"/>
        <v>7145.3000000000011</v>
      </c>
      <c r="I168" s="20">
        <f t="shared" si="129"/>
        <v>0</v>
      </c>
      <c r="J168" s="20">
        <f t="shared" si="129"/>
        <v>1434.5</v>
      </c>
      <c r="K168" s="20">
        <f t="shared" si="129"/>
        <v>0</v>
      </c>
      <c r="L168" s="20">
        <f t="shared" si="129"/>
        <v>0</v>
      </c>
      <c r="M168" s="20">
        <f t="shared" si="129"/>
        <v>1434.5</v>
      </c>
      <c r="N168" s="20">
        <f t="shared" si="129"/>
        <v>0</v>
      </c>
      <c r="O168" s="20">
        <f t="shared" si="129"/>
        <v>1030.9000000000001</v>
      </c>
      <c r="P168" s="20">
        <f t="shared" si="129"/>
        <v>0</v>
      </c>
      <c r="Q168" s="20">
        <f t="shared" si="129"/>
        <v>0</v>
      </c>
      <c r="R168" s="20">
        <f>SUM(R169:R180)</f>
        <v>1030.9000000000001</v>
      </c>
      <c r="S168" s="20">
        <f t="shared" si="129"/>
        <v>0</v>
      </c>
      <c r="T168" s="20">
        <f t="shared" si="129"/>
        <v>1123.9999999999998</v>
      </c>
      <c r="U168" s="20">
        <f t="shared" si="129"/>
        <v>0</v>
      </c>
      <c r="V168" s="20">
        <f t="shared" si="129"/>
        <v>0</v>
      </c>
      <c r="W168" s="20">
        <f t="shared" si="129"/>
        <v>1123.9999999999998</v>
      </c>
      <c r="X168" s="20">
        <f t="shared" si="129"/>
        <v>0</v>
      </c>
      <c r="Y168" s="20">
        <f t="shared" ref="Y168:AM168" si="130">SUM(Y169:Y180)</f>
        <v>1164.4000000000001</v>
      </c>
      <c r="Z168" s="20">
        <f t="shared" si="130"/>
        <v>0</v>
      </c>
      <c r="AA168" s="20">
        <f t="shared" si="130"/>
        <v>0</v>
      </c>
      <c r="AB168" s="20">
        <f t="shared" si="130"/>
        <v>1164.4000000000001</v>
      </c>
      <c r="AC168" s="20">
        <f t="shared" si="130"/>
        <v>0</v>
      </c>
      <c r="AD168" s="20">
        <f t="shared" si="130"/>
        <v>1210.9999999999998</v>
      </c>
      <c r="AE168" s="20">
        <f t="shared" si="130"/>
        <v>0</v>
      </c>
      <c r="AF168" s="20">
        <f t="shared" si="130"/>
        <v>0</v>
      </c>
      <c r="AG168" s="20">
        <f t="shared" si="130"/>
        <v>1210.9999999999998</v>
      </c>
      <c r="AH168" s="20">
        <f t="shared" si="130"/>
        <v>0</v>
      </c>
      <c r="AI168" s="20">
        <f t="shared" si="130"/>
        <v>1180.4999999999998</v>
      </c>
      <c r="AJ168" s="20">
        <f t="shared" si="130"/>
        <v>0</v>
      </c>
      <c r="AK168" s="20">
        <f t="shared" si="130"/>
        <v>0</v>
      </c>
      <c r="AL168" s="20">
        <f t="shared" si="130"/>
        <v>1180.4999999999998</v>
      </c>
      <c r="AM168" s="20">
        <f t="shared" si="130"/>
        <v>0</v>
      </c>
    </row>
    <row r="169" spans="1:39" s="2" customFormat="1" ht="31.5" outlineLevel="3" x14ac:dyDescent="0.25">
      <c r="A169" s="8" t="s">
        <v>548</v>
      </c>
      <c r="B169" s="17" t="s">
        <v>66</v>
      </c>
      <c r="C169" s="26" t="s">
        <v>32</v>
      </c>
      <c r="D169" s="26" t="s">
        <v>118</v>
      </c>
      <c r="E169" s="20">
        <f t="shared" ref="E169:E180" si="131">SUM(F169:I169)</f>
        <v>168.8</v>
      </c>
      <c r="F169" s="20">
        <f>K169</f>
        <v>0</v>
      </c>
      <c r="G169" s="38">
        <f t="shared" ref="G169:G177" si="132">L169+Q169+V169+AA169+AF169+AK169</f>
        <v>0</v>
      </c>
      <c r="H169" s="38">
        <f t="shared" ref="H169:H177" si="133">M169+R169+W169+AB169+AG169+AL169</f>
        <v>168.8</v>
      </c>
      <c r="I169" s="38">
        <f t="shared" ref="I169:I177" si="134">N169+S169+X169+AC169+AH169+AM169</f>
        <v>0</v>
      </c>
      <c r="J169" s="18">
        <f t="shared" ref="J169:J180" si="135">SUM(K169:N169)</f>
        <v>25.6</v>
      </c>
      <c r="K169" s="19">
        <v>0</v>
      </c>
      <c r="L169" s="19">
        <v>0</v>
      </c>
      <c r="M169" s="46">
        <f>22+3.6</f>
        <v>25.6</v>
      </c>
      <c r="N169" s="20">
        <v>0</v>
      </c>
      <c r="O169" s="18">
        <f t="shared" ref="O169:O198" si="136">SUM(P169:S169)</f>
        <v>26.6</v>
      </c>
      <c r="P169" s="19">
        <v>0</v>
      </c>
      <c r="Q169" s="20">
        <v>0</v>
      </c>
      <c r="R169" s="46">
        <f>3.8+22.8</f>
        <v>26.6</v>
      </c>
      <c r="S169" s="20">
        <v>0</v>
      </c>
      <c r="T169" s="18">
        <f t="shared" ref="T169:T179" si="137">SUM(U169:X169)</f>
        <v>27.8</v>
      </c>
      <c r="U169" s="19">
        <v>0</v>
      </c>
      <c r="V169" s="20">
        <v>0</v>
      </c>
      <c r="W169" s="46">
        <v>27.8</v>
      </c>
      <c r="X169" s="20">
        <v>0</v>
      </c>
      <c r="Y169" s="18">
        <f t="shared" ref="Y169:Y198" si="138">SUM(Z169:AC169)</f>
        <v>28.8</v>
      </c>
      <c r="Z169" s="19">
        <v>0</v>
      </c>
      <c r="AA169" s="20">
        <v>0</v>
      </c>
      <c r="AB169" s="46">
        <v>28.8</v>
      </c>
      <c r="AC169" s="20">
        <v>0</v>
      </c>
      <c r="AD169" s="18">
        <f>SUM(AE169:AH169)</f>
        <v>30</v>
      </c>
      <c r="AE169" s="19">
        <v>0</v>
      </c>
      <c r="AF169" s="20">
        <v>0</v>
      </c>
      <c r="AG169" s="46">
        <v>30</v>
      </c>
      <c r="AH169" s="20">
        <v>0</v>
      </c>
      <c r="AI169" s="18">
        <f t="shared" ref="AI169:AI198" si="139">SUM(AJ169:AM169)</f>
        <v>30</v>
      </c>
      <c r="AJ169" s="19">
        <v>0</v>
      </c>
      <c r="AK169" s="20">
        <v>0</v>
      </c>
      <c r="AL169" s="46">
        <v>30</v>
      </c>
      <c r="AM169" s="20">
        <v>0</v>
      </c>
    </row>
    <row r="170" spans="1:39" s="2" customFormat="1" ht="31.5" outlineLevel="3" x14ac:dyDescent="0.25">
      <c r="A170" s="8" t="s">
        <v>549</v>
      </c>
      <c r="B170" s="17" t="s">
        <v>59</v>
      </c>
      <c r="C170" s="26" t="s">
        <v>32</v>
      </c>
      <c r="D170" s="26" t="s">
        <v>118</v>
      </c>
      <c r="E170" s="20">
        <f t="shared" si="131"/>
        <v>623.70000000000005</v>
      </c>
      <c r="F170" s="20">
        <f t="shared" ref="F170:F180" si="140">K170</f>
        <v>0</v>
      </c>
      <c r="G170" s="38">
        <f t="shared" si="132"/>
        <v>0</v>
      </c>
      <c r="H170" s="38">
        <f t="shared" si="133"/>
        <v>623.70000000000005</v>
      </c>
      <c r="I170" s="38">
        <f t="shared" si="134"/>
        <v>0</v>
      </c>
      <c r="J170" s="18">
        <f t="shared" si="135"/>
        <v>94.7</v>
      </c>
      <c r="K170" s="19">
        <v>0</v>
      </c>
      <c r="L170" s="19">
        <v>0</v>
      </c>
      <c r="M170" s="46">
        <f>81.3+13.4</f>
        <v>94.7</v>
      </c>
      <c r="N170" s="20">
        <v>0</v>
      </c>
      <c r="O170" s="18">
        <f t="shared" si="136"/>
        <v>98.5</v>
      </c>
      <c r="P170" s="19">
        <v>0</v>
      </c>
      <c r="Q170" s="20">
        <v>0</v>
      </c>
      <c r="R170" s="46">
        <v>98.5</v>
      </c>
      <c r="S170" s="20">
        <v>0</v>
      </c>
      <c r="T170" s="18">
        <f t="shared" si="137"/>
        <v>102.7</v>
      </c>
      <c r="U170" s="19">
        <v>0</v>
      </c>
      <c r="V170" s="20">
        <v>0</v>
      </c>
      <c r="W170" s="46">
        <v>102.7</v>
      </c>
      <c r="X170" s="20">
        <v>0</v>
      </c>
      <c r="Y170" s="18">
        <f t="shared" si="138"/>
        <v>106.4</v>
      </c>
      <c r="Z170" s="19">
        <v>0</v>
      </c>
      <c r="AA170" s="20">
        <v>0</v>
      </c>
      <c r="AB170" s="46">
        <v>106.4</v>
      </c>
      <c r="AC170" s="20">
        <v>0</v>
      </c>
      <c r="AD170" s="18">
        <f t="shared" ref="AD170:AD198" si="141">SUM(AE170:AH170)</f>
        <v>110.7</v>
      </c>
      <c r="AE170" s="19">
        <v>0</v>
      </c>
      <c r="AF170" s="20">
        <v>0</v>
      </c>
      <c r="AG170" s="46">
        <v>110.7</v>
      </c>
      <c r="AH170" s="20">
        <v>0</v>
      </c>
      <c r="AI170" s="18">
        <f t="shared" si="139"/>
        <v>110.7</v>
      </c>
      <c r="AJ170" s="19">
        <v>0</v>
      </c>
      <c r="AK170" s="20">
        <v>0</v>
      </c>
      <c r="AL170" s="46">
        <v>110.7</v>
      </c>
      <c r="AM170" s="20">
        <v>0</v>
      </c>
    </row>
    <row r="171" spans="1:39" s="2" customFormat="1" ht="31.5" outlineLevel="3" x14ac:dyDescent="0.25">
      <c r="A171" s="8" t="s">
        <v>550</v>
      </c>
      <c r="B171" s="17" t="s">
        <v>49</v>
      </c>
      <c r="C171" s="26" t="s">
        <v>32</v>
      </c>
      <c r="D171" s="26" t="s">
        <v>118</v>
      </c>
      <c r="E171" s="20">
        <f t="shared" si="131"/>
        <v>706.3</v>
      </c>
      <c r="F171" s="20">
        <f>K171</f>
        <v>0</v>
      </c>
      <c r="G171" s="38">
        <f t="shared" si="132"/>
        <v>0</v>
      </c>
      <c r="H171" s="38">
        <f t="shared" si="133"/>
        <v>706.3</v>
      </c>
      <c r="I171" s="38">
        <f t="shared" si="134"/>
        <v>0</v>
      </c>
      <c r="J171" s="18">
        <f t="shared" si="135"/>
        <v>107.3</v>
      </c>
      <c r="K171" s="19">
        <v>0</v>
      </c>
      <c r="L171" s="19">
        <v>0</v>
      </c>
      <c r="M171" s="46">
        <f>15.2+92.1</f>
        <v>107.3</v>
      </c>
      <c r="N171" s="20">
        <v>0</v>
      </c>
      <c r="O171" s="18">
        <f t="shared" si="136"/>
        <v>111.6</v>
      </c>
      <c r="P171" s="19">
        <v>0</v>
      </c>
      <c r="Q171" s="20">
        <v>0</v>
      </c>
      <c r="R171" s="46">
        <v>111.6</v>
      </c>
      <c r="S171" s="20">
        <v>0</v>
      </c>
      <c r="T171" s="18">
        <f t="shared" si="137"/>
        <v>116.3</v>
      </c>
      <c r="U171" s="19">
        <v>0</v>
      </c>
      <c r="V171" s="20">
        <v>0</v>
      </c>
      <c r="W171" s="46">
        <v>116.3</v>
      </c>
      <c r="X171" s="20">
        <v>0</v>
      </c>
      <c r="Y171" s="18">
        <f t="shared" si="138"/>
        <v>120.5</v>
      </c>
      <c r="Z171" s="19">
        <v>0</v>
      </c>
      <c r="AA171" s="20">
        <v>0</v>
      </c>
      <c r="AB171" s="46">
        <v>120.5</v>
      </c>
      <c r="AC171" s="20">
        <v>0</v>
      </c>
      <c r="AD171" s="18">
        <f t="shared" si="141"/>
        <v>125.3</v>
      </c>
      <c r="AE171" s="19">
        <v>0</v>
      </c>
      <c r="AF171" s="20">
        <v>0</v>
      </c>
      <c r="AG171" s="46">
        <v>125.3</v>
      </c>
      <c r="AH171" s="20">
        <v>0</v>
      </c>
      <c r="AI171" s="18">
        <f t="shared" si="139"/>
        <v>125.3</v>
      </c>
      <c r="AJ171" s="19">
        <v>0</v>
      </c>
      <c r="AK171" s="20">
        <v>0</v>
      </c>
      <c r="AL171" s="46">
        <v>125.3</v>
      </c>
      <c r="AM171" s="20">
        <v>0</v>
      </c>
    </row>
    <row r="172" spans="1:39" s="2" customFormat="1" ht="31.5" outlineLevel="3" x14ac:dyDescent="0.25">
      <c r="A172" s="8" t="s">
        <v>551</v>
      </c>
      <c r="B172" s="17" t="s">
        <v>51</v>
      </c>
      <c r="C172" s="26" t="s">
        <v>32</v>
      </c>
      <c r="D172" s="26" t="s">
        <v>118</v>
      </c>
      <c r="E172" s="20">
        <f t="shared" si="131"/>
        <v>693.5</v>
      </c>
      <c r="F172" s="20">
        <f>K172</f>
        <v>0</v>
      </c>
      <c r="G172" s="38">
        <f t="shared" si="132"/>
        <v>0</v>
      </c>
      <c r="H172" s="38">
        <f t="shared" si="133"/>
        <v>693.5</v>
      </c>
      <c r="I172" s="38">
        <f t="shared" si="134"/>
        <v>0</v>
      </c>
      <c r="J172" s="18">
        <f t="shared" si="135"/>
        <v>105.4</v>
      </c>
      <c r="K172" s="19">
        <v>0</v>
      </c>
      <c r="L172" s="19">
        <v>0</v>
      </c>
      <c r="M172" s="46">
        <f>14.9+90.5</f>
        <v>105.4</v>
      </c>
      <c r="N172" s="20">
        <v>0</v>
      </c>
      <c r="O172" s="18">
        <f t="shared" si="136"/>
        <v>109.6</v>
      </c>
      <c r="P172" s="19">
        <v>0</v>
      </c>
      <c r="Q172" s="20">
        <v>0</v>
      </c>
      <c r="R172" s="46">
        <v>109.6</v>
      </c>
      <c r="S172" s="20">
        <v>0</v>
      </c>
      <c r="T172" s="18">
        <f t="shared" si="137"/>
        <v>114.2</v>
      </c>
      <c r="U172" s="19">
        <v>0</v>
      </c>
      <c r="V172" s="20">
        <v>0</v>
      </c>
      <c r="W172" s="46">
        <v>114.2</v>
      </c>
      <c r="X172" s="20">
        <v>0</v>
      </c>
      <c r="Y172" s="18">
        <f t="shared" si="138"/>
        <v>118.3</v>
      </c>
      <c r="Z172" s="19">
        <v>0</v>
      </c>
      <c r="AA172" s="20">
        <v>0</v>
      </c>
      <c r="AB172" s="46">
        <v>118.3</v>
      </c>
      <c r="AC172" s="20">
        <v>0</v>
      </c>
      <c r="AD172" s="18">
        <f t="shared" si="141"/>
        <v>123</v>
      </c>
      <c r="AE172" s="19">
        <v>0</v>
      </c>
      <c r="AF172" s="20">
        <v>0</v>
      </c>
      <c r="AG172" s="46">
        <v>123</v>
      </c>
      <c r="AH172" s="20">
        <v>0</v>
      </c>
      <c r="AI172" s="18">
        <f t="shared" si="139"/>
        <v>123</v>
      </c>
      <c r="AJ172" s="19">
        <v>0</v>
      </c>
      <c r="AK172" s="20">
        <v>0</v>
      </c>
      <c r="AL172" s="46">
        <v>123</v>
      </c>
      <c r="AM172" s="20">
        <v>0</v>
      </c>
    </row>
    <row r="173" spans="1:39" s="2" customFormat="1" ht="31.5" outlineLevel="3" x14ac:dyDescent="0.25">
      <c r="A173" s="8" t="s">
        <v>552</v>
      </c>
      <c r="B173" s="17" t="s">
        <v>52</v>
      </c>
      <c r="C173" s="26" t="s">
        <v>32</v>
      </c>
      <c r="D173" s="26" t="s">
        <v>118</v>
      </c>
      <c r="E173" s="20">
        <f t="shared" si="131"/>
        <v>114.80000000000001</v>
      </c>
      <c r="F173" s="20">
        <f t="shared" si="140"/>
        <v>0</v>
      </c>
      <c r="G173" s="38">
        <f t="shared" si="132"/>
        <v>0</v>
      </c>
      <c r="H173" s="38">
        <f t="shared" si="133"/>
        <v>114.80000000000001</v>
      </c>
      <c r="I173" s="38">
        <f t="shared" si="134"/>
        <v>0</v>
      </c>
      <c r="J173" s="18">
        <f t="shared" si="135"/>
        <v>17.399999999999999</v>
      </c>
      <c r="K173" s="19">
        <v>0</v>
      </c>
      <c r="L173" s="19">
        <v>0</v>
      </c>
      <c r="M173" s="46">
        <f>2.5+14.9</f>
        <v>17.399999999999999</v>
      </c>
      <c r="N173" s="20">
        <v>0</v>
      </c>
      <c r="O173" s="18">
        <f t="shared" si="136"/>
        <v>18.100000000000001</v>
      </c>
      <c r="P173" s="19">
        <v>0</v>
      </c>
      <c r="Q173" s="20">
        <v>0</v>
      </c>
      <c r="R173" s="46">
        <f>2.6+15.5</f>
        <v>18.100000000000001</v>
      </c>
      <c r="S173" s="20">
        <v>0</v>
      </c>
      <c r="T173" s="18">
        <f t="shared" si="137"/>
        <v>18.899999999999999</v>
      </c>
      <c r="U173" s="19">
        <v>0</v>
      </c>
      <c r="V173" s="20">
        <v>0</v>
      </c>
      <c r="W173" s="46">
        <v>18.899999999999999</v>
      </c>
      <c r="X173" s="20">
        <v>0</v>
      </c>
      <c r="Y173" s="18">
        <f t="shared" si="138"/>
        <v>19.600000000000001</v>
      </c>
      <c r="Z173" s="19">
        <v>0</v>
      </c>
      <c r="AA173" s="20">
        <v>0</v>
      </c>
      <c r="AB173" s="46">
        <v>19.600000000000001</v>
      </c>
      <c r="AC173" s="20">
        <v>0</v>
      </c>
      <c r="AD173" s="18">
        <f t="shared" si="141"/>
        <v>20.399999999999999</v>
      </c>
      <c r="AE173" s="19">
        <v>0</v>
      </c>
      <c r="AF173" s="20">
        <v>0</v>
      </c>
      <c r="AG173" s="46">
        <v>20.399999999999999</v>
      </c>
      <c r="AH173" s="20">
        <v>0</v>
      </c>
      <c r="AI173" s="18">
        <f t="shared" si="139"/>
        <v>20.399999999999999</v>
      </c>
      <c r="AJ173" s="19">
        <v>0</v>
      </c>
      <c r="AK173" s="20">
        <v>0</v>
      </c>
      <c r="AL173" s="46">
        <v>20.399999999999999</v>
      </c>
      <c r="AM173" s="20">
        <v>0</v>
      </c>
    </row>
    <row r="174" spans="1:39" s="2" customFormat="1" ht="31.5" outlineLevel="3" x14ac:dyDescent="0.25">
      <c r="A174" s="8" t="s">
        <v>553</v>
      </c>
      <c r="B174" s="17" t="s">
        <v>64</v>
      </c>
      <c r="C174" s="26" t="s">
        <v>32</v>
      </c>
      <c r="D174" s="26" t="s">
        <v>118</v>
      </c>
      <c r="E174" s="20">
        <f t="shared" si="131"/>
        <v>827.09999999999991</v>
      </c>
      <c r="F174" s="20">
        <f>K174</f>
        <v>0</v>
      </c>
      <c r="G174" s="38">
        <f t="shared" si="132"/>
        <v>0</v>
      </c>
      <c r="H174" s="38">
        <f t="shared" si="133"/>
        <v>827.09999999999991</v>
      </c>
      <c r="I174" s="38">
        <f t="shared" si="134"/>
        <v>0</v>
      </c>
      <c r="J174" s="18">
        <f t="shared" si="135"/>
        <v>125.7</v>
      </c>
      <c r="K174" s="19">
        <v>0</v>
      </c>
      <c r="L174" s="19">
        <v>0</v>
      </c>
      <c r="M174" s="46">
        <f>17.8+107.9</f>
        <v>125.7</v>
      </c>
      <c r="N174" s="20">
        <v>0</v>
      </c>
      <c r="O174" s="18">
        <f t="shared" si="136"/>
        <v>130.69999999999999</v>
      </c>
      <c r="P174" s="19">
        <v>0</v>
      </c>
      <c r="Q174" s="20">
        <v>0</v>
      </c>
      <c r="R174" s="46">
        <v>130.69999999999999</v>
      </c>
      <c r="S174" s="20">
        <v>0</v>
      </c>
      <c r="T174" s="18">
        <f t="shared" si="137"/>
        <v>136.19999999999999</v>
      </c>
      <c r="U174" s="19">
        <v>0</v>
      </c>
      <c r="V174" s="20">
        <v>0</v>
      </c>
      <c r="W174" s="46">
        <v>136.19999999999999</v>
      </c>
      <c r="X174" s="20">
        <v>0</v>
      </c>
      <c r="Y174" s="18">
        <f t="shared" si="138"/>
        <v>141.1</v>
      </c>
      <c r="Z174" s="19">
        <v>0</v>
      </c>
      <c r="AA174" s="20">
        <v>0</v>
      </c>
      <c r="AB174" s="46">
        <v>141.1</v>
      </c>
      <c r="AC174" s="20">
        <v>0</v>
      </c>
      <c r="AD174" s="18">
        <f t="shared" si="141"/>
        <v>146.69999999999999</v>
      </c>
      <c r="AE174" s="19">
        <v>0</v>
      </c>
      <c r="AF174" s="20">
        <v>0</v>
      </c>
      <c r="AG174" s="46">
        <v>146.69999999999999</v>
      </c>
      <c r="AH174" s="20">
        <v>0</v>
      </c>
      <c r="AI174" s="18">
        <f t="shared" si="139"/>
        <v>146.69999999999999</v>
      </c>
      <c r="AJ174" s="19">
        <v>0</v>
      </c>
      <c r="AK174" s="20">
        <v>0</v>
      </c>
      <c r="AL174" s="46">
        <v>146.69999999999999</v>
      </c>
      <c r="AM174" s="20">
        <v>0</v>
      </c>
    </row>
    <row r="175" spans="1:39" s="2" customFormat="1" ht="31.5" outlineLevel="3" x14ac:dyDescent="0.25">
      <c r="A175" s="8" t="s">
        <v>554</v>
      </c>
      <c r="B175" s="17" t="s">
        <v>53</v>
      </c>
      <c r="C175" s="26" t="s">
        <v>32</v>
      </c>
      <c r="D175" s="26" t="s">
        <v>118</v>
      </c>
      <c r="E175" s="20">
        <f t="shared" si="131"/>
        <v>916.40000000000009</v>
      </c>
      <c r="F175" s="20">
        <f>K175</f>
        <v>0</v>
      </c>
      <c r="G175" s="38">
        <f t="shared" si="132"/>
        <v>0</v>
      </c>
      <c r="H175" s="38">
        <f t="shared" si="133"/>
        <v>916.40000000000009</v>
      </c>
      <c r="I175" s="38">
        <f t="shared" si="134"/>
        <v>0</v>
      </c>
      <c r="J175" s="18">
        <f t="shared" si="135"/>
        <v>139.19999999999999</v>
      </c>
      <c r="K175" s="19">
        <v>0</v>
      </c>
      <c r="L175" s="19">
        <v>0</v>
      </c>
      <c r="M175" s="46">
        <f>19.7+119.5</f>
        <v>139.19999999999999</v>
      </c>
      <c r="N175" s="20">
        <v>0</v>
      </c>
      <c r="O175" s="18">
        <f t="shared" si="136"/>
        <v>144.80000000000001</v>
      </c>
      <c r="P175" s="19">
        <v>0</v>
      </c>
      <c r="Q175" s="20">
        <v>0</v>
      </c>
      <c r="R175" s="46">
        <v>144.80000000000001</v>
      </c>
      <c r="S175" s="20">
        <v>0</v>
      </c>
      <c r="T175" s="18">
        <f t="shared" si="137"/>
        <v>150.9</v>
      </c>
      <c r="U175" s="19">
        <v>0</v>
      </c>
      <c r="V175" s="20">
        <v>0</v>
      </c>
      <c r="W175" s="46">
        <v>150.9</v>
      </c>
      <c r="X175" s="20">
        <v>0</v>
      </c>
      <c r="Y175" s="18">
        <f t="shared" si="138"/>
        <v>156.30000000000001</v>
      </c>
      <c r="Z175" s="19">
        <v>0</v>
      </c>
      <c r="AA175" s="20">
        <v>0</v>
      </c>
      <c r="AB175" s="46">
        <v>156.30000000000001</v>
      </c>
      <c r="AC175" s="20">
        <v>0</v>
      </c>
      <c r="AD175" s="18">
        <f>SUM(AE175:AH175)</f>
        <v>162.6</v>
      </c>
      <c r="AE175" s="19">
        <v>0</v>
      </c>
      <c r="AF175" s="20">
        <v>0</v>
      </c>
      <c r="AG175" s="46">
        <v>162.6</v>
      </c>
      <c r="AH175" s="20">
        <v>0</v>
      </c>
      <c r="AI175" s="18">
        <f t="shared" si="139"/>
        <v>162.6</v>
      </c>
      <c r="AJ175" s="19">
        <v>0</v>
      </c>
      <c r="AK175" s="20">
        <v>0</v>
      </c>
      <c r="AL175" s="46">
        <v>162.6</v>
      </c>
      <c r="AM175" s="20">
        <v>0</v>
      </c>
    </row>
    <row r="176" spans="1:39" s="2" customFormat="1" ht="31.5" outlineLevel="3" x14ac:dyDescent="0.25">
      <c r="A176" s="8" t="s">
        <v>555</v>
      </c>
      <c r="B176" s="17" t="s">
        <v>62</v>
      </c>
      <c r="C176" s="26" t="s">
        <v>32</v>
      </c>
      <c r="D176" s="26" t="s">
        <v>118</v>
      </c>
      <c r="E176" s="20">
        <f t="shared" si="131"/>
        <v>219.60000000000002</v>
      </c>
      <c r="F176" s="20">
        <f>K176</f>
        <v>0</v>
      </c>
      <c r="G176" s="38">
        <f t="shared" si="132"/>
        <v>0</v>
      </c>
      <c r="H176" s="38">
        <f t="shared" si="133"/>
        <v>219.60000000000002</v>
      </c>
      <c r="I176" s="38">
        <f t="shared" si="134"/>
        <v>0</v>
      </c>
      <c r="J176" s="18">
        <f t="shared" si="135"/>
        <v>33.300000000000004</v>
      </c>
      <c r="K176" s="19">
        <v>0</v>
      </c>
      <c r="L176" s="19">
        <v>0</v>
      </c>
      <c r="M176" s="46">
        <f>4.7+28.6</f>
        <v>33.300000000000004</v>
      </c>
      <c r="N176" s="20">
        <v>0</v>
      </c>
      <c r="O176" s="18">
        <f t="shared" si="136"/>
        <v>34.6</v>
      </c>
      <c r="P176" s="19">
        <v>0</v>
      </c>
      <c r="Q176" s="20">
        <v>0</v>
      </c>
      <c r="R176" s="46">
        <v>34.6</v>
      </c>
      <c r="S176" s="20">
        <v>0</v>
      </c>
      <c r="T176" s="18">
        <f t="shared" si="137"/>
        <v>36.200000000000003</v>
      </c>
      <c r="U176" s="19">
        <v>0</v>
      </c>
      <c r="V176" s="20">
        <v>0</v>
      </c>
      <c r="W176" s="46">
        <v>36.200000000000003</v>
      </c>
      <c r="X176" s="20">
        <v>0</v>
      </c>
      <c r="Y176" s="18">
        <f t="shared" si="138"/>
        <v>37.5</v>
      </c>
      <c r="Z176" s="19">
        <v>0</v>
      </c>
      <c r="AA176" s="20">
        <v>0</v>
      </c>
      <c r="AB176" s="46">
        <v>37.5</v>
      </c>
      <c r="AC176" s="20">
        <v>0</v>
      </c>
      <c r="AD176" s="18">
        <f t="shared" si="141"/>
        <v>39</v>
      </c>
      <c r="AE176" s="19">
        <v>0</v>
      </c>
      <c r="AF176" s="20">
        <v>0</v>
      </c>
      <c r="AG176" s="46">
        <v>39</v>
      </c>
      <c r="AH176" s="20">
        <v>0</v>
      </c>
      <c r="AI176" s="18">
        <f t="shared" si="139"/>
        <v>39</v>
      </c>
      <c r="AJ176" s="19">
        <v>0</v>
      </c>
      <c r="AK176" s="20">
        <v>0</v>
      </c>
      <c r="AL176" s="46">
        <v>39</v>
      </c>
      <c r="AM176" s="20">
        <v>0</v>
      </c>
    </row>
    <row r="177" spans="1:39" s="2" customFormat="1" ht="31.5" outlineLevel="3" x14ac:dyDescent="0.25">
      <c r="A177" s="8" t="s">
        <v>556</v>
      </c>
      <c r="B177" s="17" t="s">
        <v>60</v>
      </c>
      <c r="C177" s="26" t="s">
        <v>32</v>
      </c>
      <c r="D177" s="26" t="s">
        <v>118</v>
      </c>
      <c r="E177" s="20">
        <f t="shared" si="131"/>
        <v>461.3</v>
      </c>
      <c r="F177" s="20">
        <f t="shared" si="140"/>
        <v>0</v>
      </c>
      <c r="G177" s="38">
        <f t="shared" si="132"/>
        <v>0</v>
      </c>
      <c r="H177" s="38">
        <f t="shared" si="133"/>
        <v>461.3</v>
      </c>
      <c r="I177" s="38">
        <f t="shared" si="134"/>
        <v>0</v>
      </c>
      <c r="J177" s="18">
        <f t="shared" si="135"/>
        <v>70.100000000000009</v>
      </c>
      <c r="K177" s="19">
        <v>0</v>
      </c>
      <c r="L177" s="19">
        <v>0</v>
      </c>
      <c r="M177" s="46">
        <f>60.2+9.9</f>
        <v>70.100000000000009</v>
      </c>
      <c r="N177" s="20">
        <v>0</v>
      </c>
      <c r="O177" s="18">
        <f t="shared" si="136"/>
        <v>72.900000000000006</v>
      </c>
      <c r="P177" s="19">
        <v>0</v>
      </c>
      <c r="Q177" s="20">
        <v>0</v>
      </c>
      <c r="R177" s="46">
        <v>72.900000000000006</v>
      </c>
      <c r="S177" s="20">
        <v>0</v>
      </c>
      <c r="T177" s="18">
        <f t="shared" si="137"/>
        <v>76</v>
      </c>
      <c r="U177" s="19">
        <v>0</v>
      </c>
      <c r="V177" s="20">
        <v>0</v>
      </c>
      <c r="W177" s="46">
        <v>76</v>
      </c>
      <c r="X177" s="20">
        <v>0</v>
      </c>
      <c r="Y177" s="18">
        <f t="shared" si="138"/>
        <v>78.7</v>
      </c>
      <c r="Z177" s="19">
        <v>0</v>
      </c>
      <c r="AA177" s="20">
        <v>0</v>
      </c>
      <c r="AB177" s="46">
        <v>78.7</v>
      </c>
      <c r="AC177" s="20">
        <v>0</v>
      </c>
      <c r="AD177" s="18">
        <f t="shared" si="141"/>
        <v>81.8</v>
      </c>
      <c r="AE177" s="19">
        <v>0</v>
      </c>
      <c r="AF177" s="20">
        <v>0</v>
      </c>
      <c r="AG177" s="46">
        <v>81.8</v>
      </c>
      <c r="AH177" s="20">
        <v>0</v>
      </c>
      <c r="AI177" s="18">
        <f t="shared" si="139"/>
        <v>81.8</v>
      </c>
      <c r="AJ177" s="19">
        <v>0</v>
      </c>
      <c r="AK177" s="20">
        <v>0</v>
      </c>
      <c r="AL177" s="46">
        <v>81.8</v>
      </c>
      <c r="AM177" s="20">
        <v>0</v>
      </c>
    </row>
    <row r="178" spans="1:39" s="2" customFormat="1" ht="31.5" outlineLevel="3" x14ac:dyDescent="0.25">
      <c r="A178" s="8" t="s">
        <v>557</v>
      </c>
      <c r="B178" s="17" t="s">
        <v>61</v>
      </c>
      <c r="C178" s="26" t="s">
        <v>32</v>
      </c>
      <c r="D178" s="26" t="s">
        <v>118</v>
      </c>
      <c r="E178" s="20">
        <f t="shared" si="131"/>
        <v>171.8</v>
      </c>
      <c r="F178" s="20">
        <f t="shared" si="140"/>
        <v>0</v>
      </c>
      <c r="G178" s="38">
        <f t="shared" ref="G178:I198" si="142">L178+Q178+V178+AA178+AF178+AK178</f>
        <v>0</v>
      </c>
      <c r="H178" s="38">
        <f t="shared" si="142"/>
        <v>171.8</v>
      </c>
      <c r="I178" s="38">
        <f t="shared" si="142"/>
        <v>0</v>
      </c>
      <c r="J178" s="18">
        <f t="shared" si="135"/>
        <v>26.099999999999998</v>
      </c>
      <c r="K178" s="19">
        <v>0</v>
      </c>
      <c r="L178" s="19">
        <v>0</v>
      </c>
      <c r="M178" s="46">
        <f>3.7+22.4</f>
        <v>26.099999999999998</v>
      </c>
      <c r="N178" s="20">
        <v>0</v>
      </c>
      <c r="O178" s="18">
        <f t="shared" si="136"/>
        <v>27.099999999999998</v>
      </c>
      <c r="P178" s="19">
        <v>0</v>
      </c>
      <c r="Q178" s="20">
        <v>0</v>
      </c>
      <c r="R178" s="46">
        <f>3.9+23.2</f>
        <v>27.099999999999998</v>
      </c>
      <c r="S178" s="20">
        <v>0</v>
      </c>
      <c r="T178" s="18">
        <f t="shared" si="137"/>
        <v>28.3</v>
      </c>
      <c r="U178" s="19">
        <v>0</v>
      </c>
      <c r="V178" s="20">
        <v>0</v>
      </c>
      <c r="W178" s="46">
        <v>28.3</v>
      </c>
      <c r="X178" s="20">
        <v>0</v>
      </c>
      <c r="Y178" s="18">
        <f t="shared" si="138"/>
        <v>29.3</v>
      </c>
      <c r="Z178" s="19">
        <v>0</v>
      </c>
      <c r="AA178" s="20">
        <v>0</v>
      </c>
      <c r="AB178" s="46">
        <v>29.3</v>
      </c>
      <c r="AC178" s="20">
        <v>0</v>
      </c>
      <c r="AD178" s="18">
        <f t="shared" si="141"/>
        <v>30.5</v>
      </c>
      <c r="AE178" s="19">
        <v>0</v>
      </c>
      <c r="AF178" s="20">
        <v>0</v>
      </c>
      <c r="AG178" s="46">
        <v>30.5</v>
      </c>
      <c r="AH178" s="20">
        <v>0</v>
      </c>
      <c r="AI178" s="18">
        <f t="shared" si="139"/>
        <v>30.5</v>
      </c>
      <c r="AJ178" s="19">
        <v>0</v>
      </c>
      <c r="AK178" s="20">
        <v>0</v>
      </c>
      <c r="AL178" s="46">
        <v>30.5</v>
      </c>
      <c r="AM178" s="20">
        <v>0</v>
      </c>
    </row>
    <row r="179" spans="1:39" s="2" customFormat="1" ht="31.5" outlineLevel="3" x14ac:dyDescent="0.25">
      <c r="A179" s="8" t="s">
        <v>558</v>
      </c>
      <c r="B179" s="17" t="s">
        <v>54</v>
      </c>
      <c r="C179" s="26" t="s">
        <v>32</v>
      </c>
      <c r="D179" s="26" t="s">
        <v>118</v>
      </c>
      <c r="E179" s="20">
        <f t="shared" si="131"/>
        <v>1541.1000000000001</v>
      </c>
      <c r="F179" s="20">
        <f t="shared" si="140"/>
        <v>0</v>
      </c>
      <c r="G179" s="38">
        <f t="shared" si="142"/>
        <v>0</v>
      </c>
      <c r="H179" s="38">
        <f t="shared" si="142"/>
        <v>1541.1000000000001</v>
      </c>
      <c r="I179" s="38">
        <f t="shared" si="142"/>
        <v>0</v>
      </c>
      <c r="J179" s="18">
        <f t="shared" si="135"/>
        <v>454.3</v>
      </c>
      <c r="K179" s="19">
        <v>0</v>
      </c>
      <c r="L179" s="19">
        <v>0</v>
      </c>
      <c r="M179" s="46">
        <v>454.3</v>
      </c>
      <c r="N179" s="20">
        <v>0</v>
      </c>
      <c r="O179" s="18">
        <f t="shared" si="136"/>
        <v>186.1</v>
      </c>
      <c r="P179" s="19">
        <v>0</v>
      </c>
      <c r="Q179" s="20">
        <v>0</v>
      </c>
      <c r="R179" s="46">
        <v>186.1</v>
      </c>
      <c r="S179" s="20">
        <v>0</v>
      </c>
      <c r="T179" s="18">
        <f t="shared" si="137"/>
        <v>222.20000000000002</v>
      </c>
      <c r="U179" s="19">
        <v>0</v>
      </c>
      <c r="V179" s="20">
        <v>0</v>
      </c>
      <c r="W179" s="46">
        <f>28.3+193.9</f>
        <v>222.20000000000002</v>
      </c>
      <c r="X179" s="20">
        <v>0</v>
      </c>
      <c r="Y179" s="18">
        <f t="shared" si="138"/>
        <v>230.20000000000002</v>
      </c>
      <c r="Z179" s="19">
        <v>0</v>
      </c>
      <c r="AA179" s="20">
        <v>0</v>
      </c>
      <c r="AB179" s="46">
        <f>29.3+200.9</f>
        <v>230.20000000000002</v>
      </c>
      <c r="AC179" s="20">
        <v>0</v>
      </c>
      <c r="AD179" s="18">
        <f t="shared" si="141"/>
        <v>239.4</v>
      </c>
      <c r="AE179" s="19">
        <v>0</v>
      </c>
      <c r="AF179" s="20">
        <v>0</v>
      </c>
      <c r="AG179" s="46">
        <f>208.9+30.5</f>
        <v>239.4</v>
      </c>
      <c r="AH179" s="20">
        <v>0</v>
      </c>
      <c r="AI179" s="18">
        <f t="shared" si="139"/>
        <v>208.9</v>
      </c>
      <c r="AJ179" s="19">
        <v>0</v>
      </c>
      <c r="AK179" s="20">
        <v>0</v>
      </c>
      <c r="AL179" s="46">
        <v>208.9</v>
      </c>
      <c r="AM179" s="20">
        <v>0</v>
      </c>
    </row>
    <row r="180" spans="1:39" s="2" customFormat="1" ht="31.5" outlineLevel="3" x14ac:dyDescent="0.25">
      <c r="A180" s="8" t="s">
        <v>559</v>
      </c>
      <c r="B180" s="17" t="s">
        <v>57</v>
      </c>
      <c r="C180" s="26" t="s">
        <v>32</v>
      </c>
      <c r="D180" s="26" t="s">
        <v>118</v>
      </c>
      <c r="E180" s="20">
        <f t="shared" si="131"/>
        <v>700.9</v>
      </c>
      <c r="F180" s="20">
        <f t="shared" si="140"/>
        <v>0</v>
      </c>
      <c r="G180" s="38">
        <f t="shared" si="142"/>
        <v>0</v>
      </c>
      <c r="H180" s="38">
        <f t="shared" si="142"/>
        <v>700.9</v>
      </c>
      <c r="I180" s="38">
        <f t="shared" si="142"/>
        <v>0</v>
      </c>
      <c r="J180" s="18">
        <f t="shared" si="135"/>
        <v>235.4</v>
      </c>
      <c r="K180" s="19">
        <v>0</v>
      </c>
      <c r="L180" s="19">
        <v>0</v>
      </c>
      <c r="M180" s="46">
        <v>235.4</v>
      </c>
      <c r="N180" s="20">
        <v>0</v>
      </c>
      <c r="O180" s="18">
        <f t="shared" si="136"/>
        <v>70.3</v>
      </c>
      <c r="P180" s="19">
        <v>0</v>
      </c>
      <c r="Q180" s="20">
        <v>0</v>
      </c>
      <c r="R180" s="46">
        <f>90.5-20.2</f>
        <v>70.3</v>
      </c>
      <c r="S180" s="20">
        <v>0</v>
      </c>
      <c r="T180" s="18">
        <f t="shared" ref="T180:T198" si="143">SUM(U180:X180)</f>
        <v>94.3</v>
      </c>
      <c r="U180" s="19">
        <v>0</v>
      </c>
      <c r="V180" s="20">
        <v>0</v>
      </c>
      <c r="W180" s="46">
        <v>94.3</v>
      </c>
      <c r="X180" s="20">
        <v>0</v>
      </c>
      <c r="Y180" s="18">
        <f t="shared" si="138"/>
        <v>97.7</v>
      </c>
      <c r="Z180" s="19">
        <v>0</v>
      </c>
      <c r="AA180" s="20">
        <v>0</v>
      </c>
      <c r="AB180" s="46">
        <v>97.7</v>
      </c>
      <c r="AC180" s="20">
        <v>0</v>
      </c>
      <c r="AD180" s="18">
        <f t="shared" si="141"/>
        <v>101.6</v>
      </c>
      <c r="AE180" s="19">
        <v>0</v>
      </c>
      <c r="AF180" s="20">
        <v>0</v>
      </c>
      <c r="AG180" s="46">
        <v>101.6</v>
      </c>
      <c r="AH180" s="20">
        <v>0</v>
      </c>
      <c r="AI180" s="18">
        <f t="shared" si="139"/>
        <v>101.6</v>
      </c>
      <c r="AJ180" s="19">
        <v>0</v>
      </c>
      <c r="AK180" s="20">
        <v>0</v>
      </c>
      <c r="AL180" s="46">
        <v>101.6</v>
      </c>
      <c r="AM180" s="20">
        <v>0</v>
      </c>
    </row>
    <row r="181" spans="1:39" s="2" customFormat="1" ht="24.75" customHeight="1" outlineLevel="2" x14ac:dyDescent="0.25">
      <c r="A181" s="138" t="s">
        <v>985</v>
      </c>
      <c r="B181" s="175" t="s">
        <v>986</v>
      </c>
      <c r="C181" s="175"/>
      <c r="D181" s="176"/>
      <c r="E181" s="20">
        <f>SUM(E182)</f>
        <v>220</v>
      </c>
      <c r="F181" s="20">
        <f t="shared" ref="F181:AM181" si="144">SUM(F182)</f>
        <v>0</v>
      </c>
      <c r="G181" s="20">
        <f t="shared" si="144"/>
        <v>0</v>
      </c>
      <c r="H181" s="20">
        <f t="shared" si="144"/>
        <v>220</v>
      </c>
      <c r="I181" s="20">
        <f t="shared" si="144"/>
        <v>0</v>
      </c>
      <c r="J181" s="20">
        <f t="shared" si="144"/>
        <v>0</v>
      </c>
      <c r="K181" s="20">
        <f t="shared" si="144"/>
        <v>0</v>
      </c>
      <c r="L181" s="20">
        <f t="shared" si="144"/>
        <v>0</v>
      </c>
      <c r="M181" s="20">
        <f t="shared" si="144"/>
        <v>0</v>
      </c>
      <c r="N181" s="20">
        <f t="shared" si="144"/>
        <v>0</v>
      </c>
      <c r="O181" s="20">
        <f t="shared" si="144"/>
        <v>0</v>
      </c>
      <c r="P181" s="20">
        <f t="shared" si="144"/>
        <v>0</v>
      </c>
      <c r="Q181" s="20">
        <f t="shared" si="144"/>
        <v>0</v>
      </c>
      <c r="R181" s="20">
        <f t="shared" si="144"/>
        <v>0</v>
      </c>
      <c r="S181" s="20">
        <f t="shared" si="144"/>
        <v>0</v>
      </c>
      <c r="T181" s="20">
        <f t="shared" si="144"/>
        <v>220</v>
      </c>
      <c r="U181" s="20">
        <f t="shared" si="144"/>
        <v>0</v>
      </c>
      <c r="V181" s="20">
        <f t="shared" si="144"/>
        <v>0</v>
      </c>
      <c r="W181" s="20">
        <f t="shared" si="144"/>
        <v>220</v>
      </c>
      <c r="X181" s="20">
        <f t="shared" si="144"/>
        <v>0</v>
      </c>
      <c r="Y181" s="20">
        <f t="shared" si="144"/>
        <v>0</v>
      </c>
      <c r="Z181" s="20">
        <f t="shared" si="144"/>
        <v>0</v>
      </c>
      <c r="AA181" s="20">
        <f t="shared" si="144"/>
        <v>0</v>
      </c>
      <c r="AB181" s="20">
        <f t="shared" si="144"/>
        <v>0</v>
      </c>
      <c r="AC181" s="20">
        <f t="shared" si="144"/>
        <v>0</v>
      </c>
      <c r="AD181" s="20">
        <f t="shared" si="144"/>
        <v>0</v>
      </c>
      <c r="AE181" s="20">
        <f t="shared" si="144"/>
        <v>0</v>
      </c>
      <c r="AF181" s="20">
        <f t="shared" si="144"/>
        <v>0</v>
      </c>
      <c r="AG181" s="20">
        <f t="shared" si="144"/>
        <v>0</v>
      </c>
      <c r="AH181" s="20">
        <f t="shared" si="144"/>
        <v>0</v>
      </c>
      <c r="AI181" s="20">
        <f t="shared" si="144"/>
        <v>0</v>
      </c>
      <c r="AJ181" s="20">
        <f t="shared" si="144"/>
        <v>0</v>
      </c>
      <c r="AK181" s="20">
        <f t="shared" si="144"/>
        <v>0</v>
      </c>
      <c r="AL181" s="20">
        <f t="shared" si="144"/>
        <v>0</v>
      </c>
      <c r="AM181" s="20">
        <f t="shared" si="144"/>
        <v>0</v>
      </c>
    </row>
    <row r="182" spans="1:39" s="2" customFormat="1" ht="63" outlineLevel="3" x14ac:dyDescent="0.25">
      <c r="A182" s="8" t="s">
        <v>988</v>
      </c>
      <c r="B182" s="17" t="s">
        <v>987</v>
      </c>
      <c r="C182" s="26" t="s">
        <v>32</v>
      </c>
      <c r="D182" s="26" t="s">
        <v>118</v>
      </c>
      <c r="E182" s="20">
        <f t="shared" ref="E182" si="145">SUM(F182:I182)</f>
        <v>220</v>
      </c>
      <c r="F182" s="20">
        <f>K182</f>
        <v>0</v>
      </c>
      <c r="G182" s="38">
        <f t="shared" ref="G182" si="146">L182+Q182+V182+AA182+AF182+AK182</f>
        <v>0</v>
      </c>
      <c r="H182" s="38">
        <f t="shared" ref="H182" si="147">M182+R182+W182+AB182+AG182+AL182</f>
        <v>220</v>
      </c>
      <c r="I182" s="38">
        <f t="shared" ref="I182" si="148">N182+S182+X182+AC182+AH182+AM182</f>
        <v>0</v>
      </c>
      <c r="J182" s="18">
        <f t="shared" ref="J182" si="149">SUM(K182:N182)</f>
        <v>0</v>
      </c>
      <c r="K182" s="19">
        <v>0</v>
      </c>
      <c r="L182" s="19">
        <v>0</v>
      </c>
      <c r="M182" s="46">
        <v>0</v>
      </c>
      <c r="N182" s="20">
        <v>0</v>
      </c>
      <c r="O182" s="18">
        <f t="shared" ref="O182" si="150">SUM(P182:S182)</f>
        <v>0</v>
      </c>
      <c r="P182" s="19">
        <v>0</v>
      </c>
      <c r="Q182" s="20">
        <v>0</v>
      </c>
      <c r="R182" s="46">
        <v>0</v>
      </c>
      <c r="S182" s="20">
        <v>0</v>
      </c>
      <c r="T182" s="18">
        <f t="shared" ref="T182" si="151">SUM(U182:X182)</f>
        <v>220</v>
      </c>
      <c r="U182" s="19">
        <v>0</v>
      </c>
      <c r="V182" s="20">
        <v>0</v>
      </c>
      <c r="W182" s="46">
        <v>220</v>
      </c>
      <c r="X182" s="20">
        <v>0</v>
      </c>
      <c r="Y182" s="18">
        <f t="shared" ref="Y182" si="152">SUM(Z182:AC182)</f>
        <v>0</v>
      </c>
      <c r="Z182" s="19">
        <v>0</v>
      </c>
      <c r="AA182" s="20">
        <v>0</v>
      </c>
      <c r="AB182" s="46">
        <v>0</v>
      </c>
      <c r="AC182" s="20">
        <v>0</v>
      </c>
      <c r="AD182" s="18">
        <f>SUM(AE182:AH182)</f>
        <v>0</v>
      </c>
      <c r="AE182" s="19">
        <v>0</v>
      </c>
      <c r="AF182" s="20">
        <v>0</v>
      </c>
      <c r="AG182" s="46">
        <v>0</v>
      </c>
      <c r="AH182" s="20">
        <v>0</v>
      </c>
      <c r="AI182" s="18">
        <f t="shared" ref="AI182" si="153">SUM(AJ182:AM182)</f>
        <v>0</v>
      </c>
      <c r="AJ182" s="19">
        <v>0</v>
      </c>
      <c r="AK182" s="20">
        <v>0</v>
      </c>
      <c r="AL182" s="46">
        <v>0</v>
      </c>
      <c r="AM182" s="20">
        <v>0</v>
      </c>
    </row>
    <row r="183" spans="1:39" s="2" customFormat="1" ht="45.75" customHeight="1" outlineLevel="1" x14ac:dyDescent="0.25">
      <c r="A183" s="138" t="s">
        <v>85</v>
      </c>
      <c r="B183" s="177" t="s">
        <v>532</v>
      </c>
      <c r="C183" s="177"/>
      <c r="D183" s="178"/>
      <c r="E183" s="20">
        <f>SUM(E184:E191)</f>
        <v>18604.100000000002</v>
      </c>
      <c r="F183" s="20">
        <f t="shared" ref="F183:AM183" si="154">SUM(F184:F191)</f>
        <v>0</v>
      </c>
      <c r="G183" s="20">
        <f t="shared" si="154"/>
        <v>0</v>
      </c>
      <c r="H183" s="20">
        <f t="shared" si="154"/>
        <v>18604.100000000002</v>
      </c>
      <c r="I183" s="20">
        <f t="shared" si="154"/>
        <v>0</v>
      </c>
      <c r="J183" s="20">
        <f t="shared" si="154"/>
        <v>5427.3</v>
      </c>
      <c r="K183" s="20">
        <f t="shared" si="154"/>
        <v>0</v>
      </c>
      <c r="L183" s="20">
        <f t="shared" si="154"/>
        <v>0</v>
      </c>
      <c r="M183" s="20">
        <f t="shared" si="154"/>
        <v>5427.3</v>
      </c>
      <c r="N183" s="20">
        <f t="shared" si="154"/>
        <v>0</v>
      </c>
      <c r="O183" s="20">
        <f t="shared" si="154"/>
        <v>0</v>
      </c>
      <c r="P183" s="20">
        <f t="shared" si="154"/>
        <v>0</v>
      </c>
      <c r="Q183" s="20">
        <f t="shared" si="154"/>
        <v>0</v>
      </c>
      <c r="R183" s="20">
        <f t="shared" si="154"/>
        <v>0</v>
      </c>
      <c r="S183" s="20">
        <f t="shared" si="154"/>
        <v>0</v>
      </c>
      <c r="T183" s="20">
        <f t="shared" si="154"/>
        <v>13176.8</v>
      </c>
      <c r="U183" s="20">
        <f t="shared" si="154"/>
        <v>0</v>
      </c>
      <c r="V183" s="20">
        <f t="shared" si="154"/>
        <v>0</v>
      </c>
      <c r="W183" s="20">
        <f t="shared" si="154"/>
        <v>13176.8</v>
      </c>
      <c r="X183" s="20">
        <f t="shared" si="154"/>
        <v>0</v>
      </c>
      <c r="Y183" s="20">
        <f t="shared" si="154"/>
        <v>0</v>
      </c>
      <c r="Z183" s="20">
        <f t="shared" si="154"/>
        <v>0</v>
      </c>
      <c r="AA183" s="20">
        <f t="shared" si="154"/>
        <v>0</v>
      </c>
      <c r="AB183" s="20">
        <f t="shared" si="154"/>
        <v>0</v>
      </c>
      <c r="AC183" s="20">
        <f t="shared" si="154"/>
        <v>0</v>
      </c>
      <c r="AD183" s="20">
        <f t="shared" si="154"/>
        <v>0</v>
      </c>
      <c r="AE183" s="20">
        <f t="shared" si="154"/>
        <v>0</v>
      </c>
      <c r="AF183" s="20">
        <f t="shared" si="154"/>
        <v>0</v>
      </c>
      <c r="AG183" s="20">
        <f t="shared" si="154"/>
        <v>0</v>
      </c>
      <c r="AH183" s="20">
        <f t="shared" si="154"/>
        <v>0</v>
      </c>
      <c r="AI183" s="20">
        <f t="shared" si="154"/>
        <v>0</v>
      </c>
      <c r="AJ183" s="20">
        <f t="shared" si="154"/>
        <v>0</v>
      </c>
      <c r="AK183" s="20">
        <f t="shared" si="154"/>
        <v>0</v>
      </c>
      <c r="AL183" s="20">
        <f t="shared" si="154"/>
        <v>0</v>
      </c>
      <c r="AM183" s="20">
        <f t="shared" si="154"/>
        <v>0</v>
      </c>
    </row>
    <row r="184" spans="1:39" s="2" customFormat="1" ht="78.75" outlineLevel="2" x14ac:dyDescent="0.25">
      <c r="A184" s="8" t="s">
        <v>86</v>
      </c>
      <c r="B184" s="29" t="s">
        <v>84</v>
      </c>
      <c r="C184" s="26" t="s">
        <v>377</v>
      </c>
      <c r="D184" s="26" t="s">
        <v>118</v>
      </c>
      <c r="E184" s="20">
        <f t="shared" ref="E184:E191" si="155">SUM(F184:I184)</f>
        <v>3744.5</v>
      </c>
      <c r="F184" s="38">
        <f>K184+P184+U184</f>
        <v>0</v>
      </c>
      <c r="G184" s="38">
        <f t="shared" si="142"/>
        <v>0</v>
      </c>
      <c r="H184" s="38">
        <f t="shared" si="142"/>
        <v>3744.5</v>
      </c>
      <c r="I184" s="38">
        <f t="shared" si="142"/>
        <v>0</v>
      </c>
      <c r="J184" s="18">
        <f t="shared" ref="J184:J190" si="156">SUM(K184:N184)</f>
        <v>3744.5</v>
      </c>
      <c r="K184" s="19">
        <v>0</v>
      </c>
      <c r="L184" s="19">
        <v>0</v>
      </c>
      <c r="M184" s="47">
        <f>3813.9-362.3+292.9</f>
        <v>3744.5</v>
      </c>
      <c r="N184" s="20">
        <v>0</v>
      </c>
      <c r="O184" s="18">
        <f t="shared" si="136"/>
        <v>0</v>
      </c>
      <c r="P184" s="19">
        <v>0</v>
      </c>
      <c r="Q184" s="20">
        <v>0</v>
      </c>
      <c r="R184" s="20">
        <v>0</v>
      </c>
      <c r="S184" s="20">
        <v>0</v>
      </c>
      <c r="T184" s="18">
        <f t="shared" si="143"/>
        <v>0</v>
      </c>
      <c r="U184" s="19">
        <v>0</v>
      </c>
      <c r="V184" s="20">
        <v>0</v>
      </c>
      <c r="W184" s="20">
        <v>0</v>
      </c>
      <c r="X184" s="20">
        <v>0</v>
      </c>
      <c r="Y184" s="18">
        <f t="shared" si="138"/>
        <v>0</v>
      </c>
      <c r="Z184" s="19">
        <v>0</v>
      </c>
      <c r="AA184" s="20">
        <v>0</v>
      </c>
      <c r="AB184" s="20">
        <v>0</v>
      </c>
      <c r="AC184" s="20">
        <v>0</v>
      </c>
      <c r="AD184" s="18">
        <f t="shared" si="141"/>
        <v>0</v>
      </c>
      <c r="AE184" s="19">
        <v>0</v>
      </c>
      <c r="AF184" s="20">
        <v>0</v>
      </c>
      <c r="AG184" s="20">
        <v>0</v>
      </c>
      <c r="AH184" s="20">
        <v>0</v>
      </c>
      <c r="AI184" s="18">
        <f t="shared" si="139"/>
        <v>0</v>
      </c>
      <c r="AJ184" s="19">
        <v>0</v>
      </c>
      <c r="AK184" s="20">
        <v>0</v>
      </c>
      <c r="AL184" s="20">
        <v>0</v>
      </c>
      <c r="AM184" s="20">
        <v>0</v>
      </c>
    </row>
    <row r="185" spans="1:39" s="2" customFormat="1" ht="63" outlineLevel="2" x14ac:dyDescent="0.25">
      <c r="A185" s="8" t="s">
        <v>355</v>
      </c>
      <c r="B185" s="28" t="s">
        <v>357</v>
      </c>
      <c r="C185" s="26" t="s">
        <v>31</v>
      </c>
      <c r="D185" s="26" t="s">
        <v>118</v>
      </c>
      <c r="E185" s="20">
        <f t="shared" si="155"/>
        <v>99.1</v>
      </c>
      <c r="F185" s="38">
        <f>K185+P185+U185</f>
        <v>0</v>
      </c>
      <c r="G185" s="38">
        <f t="shared" si="142"/>
        <v>0</v>
      </c>
      <c r="H185" s="38">
        <f t="shared" si="142"/>
        <v>99.1</v>
      </c>
      <c r="I185" s="38">
        <f t="shared" si="142"/>
        <v>0</v>
      </c>
      <c r="J185" s="18">
        <f t="shared" si="156"/>
        <v>99.1</v>
      </c>
      <c r="K185" s="19">
        <v>0</v>
      </c>
      <c r="L185" s="19">
        <v>0</v>
      </c>
      <c r="M185" s="47">
        <v>99.1</v>
      </c>
      <c r="N185" s="20">
        <v>0</v>
      </c>
      <c r="O185" s="18">
        <f t="shared" si="136"/>
        <v>0</v>
      </c>
      <c r="P185" s="19">
        <v>0</v>
      </c>
      <c r="Q185" s="20">
        <v>0</v>
      </c>
      <c r="R185" s="20">
        <v>0</v>
      </c>
      <c r="S185" s="20">
        <v>0</v>
      </c>
      <c r="T185" s="18">
        <f t="shared" si="143"/>
        <v>0</v>
      </c>
      <c r="U185" s="19">
        <v>0</v>
      </c>
      <c r="V185" s="20">
        <v>0</v>
      </c>
      <c r="W185" s="20">
        <v>0</v>
      </c>
      <c r="X185" s="20">
        <v>0</v>
      </c>
      <c r="Y185" s="18">
        <f t="shared" si="138"/>
        <v>0</v>
      </c>
      <c r="Z185" s="19">
        <v>0</v>
      </c>
      <c r="AA185" s="20">
        <v>0</v>
      </c>
      <c r="AB185" s="20">
        <v>0</v>
      </c>
      <c r="AC185" s="20">
        <v>0</v>
      </c>
      <c r="AD185" s="18">
        <f t="shared" si="141"/>
        <v>0</v>
      </c>
      <c r="AE185" s="19">
        <v>0</v>
      </c>
      <c r="AF185" s="20">
        <v>0</v>
      </c>
      <c r="AG185" s="20">
        <v>0</v>
      </c>
      <c r="AH185" s="20">
        <v>0</v>
      </c>
      <c r="AI185" s="18">
        <f t="shared" si="139"/>
        <v>0</v>
      </c>
      <c r="AJ185" s="19">
        <v>0</v>
      </c>
      <c r="AK185" s="20">
        <v>0</v>
      </c>
      <c r="AL185" s="20">
        <v>0</v>
      </c>
      <c r="AM185" s="20">
        <v>0</v>
      </c>
    </row>
    <row r="186" spans="1:39" s="2" customFormat="1" ht="94.5" outlineLevel="2" x14ac:dyDescent="0.25">
      <c r="A186" s="8" t="s">
        <v>356</v>
      </c>
      <c r="B186" s="6" t="s">
        <v>353</v>
      </c>
      <c r="C186" s="26" t="s">
        <v>377</v>
      </c>
      <c r="D186" s="26" t="s">
        <v>118</v>
      </c>
      <c r="E186" s="20">
        <f t="shared" si="155"/>
        <v>1583.7</v>
      </c>
      <c r="F186" s="20">
        <f>K186</f>
        <v>0</v>
      </c>
      <c r="G186" s="38">
        <f t="shared" ref="G186:I190" si="157">L186+Q186+V186+AA186+AF186+AK186</f>
        <v>0</v>
      </c>
      <c r="H186" s="38">
        <f t="shared" si="157"/>
        <v>1583.7</v>
      </c>
      <c r="I186" s="38">
        <f t="shared" si="157"/>
        <v>0</v>
      </c>
      <c r="J186" s="18">
        <f t="shared" si="156"/>
        <v>1583.7</v>
      </c>
      <c r="K186" s="19">
        <v>0</v>
      </c>
      <c r="L186" s="19">
        <v>0</v>
      </c>
      <c r="M186" s="19">
        <v>1583.7</v>
      </c>
      <c r="N186" s="20">
        <v>0</v>
      </c>
      <c r="O186" s="18">
        <f>SUM(P186:S186)</f>
        <v>0</v>
      </c>
      <c r="P186" s="19">
        <v>0</v>
      </c>
      <c r="Q186" s="20">
        <v>0</v>
      </c>
      <c r="R186" s="20">
        <v>0</v>
      </c>
      <c r="S186" s="20">
        <v>0</v>
      </c>
      <c r="T186" s="18">
        <f>SUM(U186:X186)</f>
        <v>0</v>
      </c>
      <c r="U186" s="19">
        <v>0</v>
      </c>
      <c r="V186" s="20">
        <v>0</v>
      </c>
      <c r="W186" s="20">
        <v>0</v>
      </c>
      <c r="X186" s="20">
        <v>0</v>
      </c>
      <c r="Y186" s="18">
        <f>SUM(Z186:AC186)</f>
        <v>0</v>
      </c>
      <c r="Z186" s="19">
        <v>0</v>
      </c>
      <c r="AA186" s="20">
        <v>0</v>
      </c>
      <c r="AB186" s="20">
        <v>0</v>
      </c>
      <c r="AC186" s="20">
        <v>0</v>
      </c>
      <c r="AD186" s="18">
        <f>SUM(AE186:AH186)</f>
        <v>0</v>
      </c>
      <c r="AE186" s="19">
        <v>0</v>
      </c>
      <c r="AF186" s="20">
        <v>0</v>
      </c>
      <c r="AG186" s="20">
        <v>0</v>
      </c>
      <c r="AH186" s="20">
        <v>0</v>
      </c>
      <c r="AI186" s="18">
        <f>SUM(AJ186:AM186)</f>
        <v>0</v>
      </c>
      <c r="AJ186" s="19">
        <v>0</v>
      </c>
      <c r="AK186" s="20">
        <v>0</v>
      </c>
      <c r="AL186" s="20">
        <v>0</v>
      </c>
      <c r="AM186" s="20">
        <v>0</v>
      </c>
    </row>
    <row r="187" spans="1:39" s="2" customFormat="1" ht="67.5" customHeight="1" outlineLevel="2" x14ac:dyDescent="0.25">
      <c r="A187" s="8" t="s">
        <v>533</v>
      </c>
      <c r="B187" s="6" t="s">
        <v>782</v>
      </c>
      <c r="C187" s="26" t="s">
        <v>32</v>
      </c>
      <c r="D187" s="26" t="s">
        <v>118</v>
      </c>
      <c r="E187" s="20">
        <f t="shared" si="155"/>
        <v>630.4</v>
      </c>
      <c r="F187" s="20">
        <f>K187</f>
        <v>0</v>
      </c>
      <c r="G187" s="38">
        <f t="shared" si="157"/>
        <v>0</v>
      </c>
      <c r="H187" s="38">
        <f t="shared" si="157"/>
        <v>630.4</v>
      </c>
      <c r="I187" s="38">
        <f t="shared" si="157"/>
        <v>0</v>
      </c>
      <c r="J187" s="18">
        <f t="shared" si="156"/>
        <v>0</v>
      </c>
      <c r="K187" s="19">
        <v>0</v>
      </c>
      <c r="L187" s="19">
        <v>0</v>
      </c>
      <c r="M187" s="19">
        <v>0</v>
      </c>
      <c r="N187" s="20">
        <v>0</v>
      </c>
      <c r="O187" s="18">
        <f>SUM(P187:S187)</f>
        <v>0</v>
      </c>
      <c r="P187" s="19">
        <v>0</v>
      </c>
      <c r="Q187" s="20">
        <v>0</v>
      </c>
      <c r="R187" s="38">
        <v>0</v>
      </c>
      <c r="S187" s="20">
        <v>0</v>
      </c>
      <c r="T187" s="18">
        <f>SUM(U187:X187)</f>
        <v>630.4</v>
      </c>
      <c r="U187" s="19">
        <v>0</v>
      </c>
      <c r="V187" s="20">
        <v>0</v>
      </c>
      <c r="W187" s="20">
        <v>630.4</v>
      </c>
      <c r="X187" s="20">
        <v>0</v>
      </c>
      <c r="Y187" s="18">
        <f>SUM(Z187:AC187)</f>
        <v>0</v>
      </c>
      <c r="Z187" s="19">
        <v>0</v>
      </c>
      <c r="AA187" s="20">
        <v>0</v>
      </c>
      <c r="AB187" s="20">
        <v>0</v>
      </c>
      <c r="AC187" s="20">
        <v>0</v>
      </c>
      <c r="AD187" s="18">
        <f>SUM(AE187:AH187)</f>
        <v>0</v>
      </c>
      <c r="AE187" s="19">
        <v>0</v>
      </c>
      <c r="AF187" s="20">
        <v>0</v>
      </c>
      <c r="AG187" s="20">
        <v>0</v>
      </c>
      <c r="AH187" s="20">
        <v>0</v>
      </c>
      <c r="AI187" s="18">
        <f>SUM(AJ187:AM187)</f>
        <v>0</v>
      </c>
      <c r="AJ187" s="19">
        <v>0</v>
      </c>
      <c r="AK187" s="20">
        <v>0</v>
      </c>
      <c r="AL187" s="20">
        <v>0</v>
      </c>
      <c r="AM187" s="20">
        <v>0</v>
      </c>
    </row>
    <row r="188" spans="1:39" s="2" customFormat="1" ht="31.5" outlineLevel="2" x14ac:dyDescent="0.25">
      <c r="A188" s="8" t="s">
        <v>780</v>
      </c>
      <c r="B188" s="6" t="s">
        <v>783</v>
      </c>
      <c r="C188" s="26" t="s">
        <v>32</v>
      </c>
      <c r="D188" s="26" t="s">
        <v>118</v>
      </c>
      <c r="E188" s="20">
        <f t="shared" si="155"/>
        <v>2748</v>
      </c>
      <c r="F188" s="20">
        <f>K188</f>
        <v>0</v>
      </c>
      <c r="G188" s="38">
        <f t="shared" si="157"/>
        <v>0</v>
      </c>
      <c r="H188" s="38">
        <f t="shared" si="157"/>
        <v>2748</v>
      </c>
      <c r="I188" s="38">
        <f t="shared" si="157"/>
        <v>0</v>
      </c>
      <c r="J188" s="18">
        <f t="shared" si="156"/>
        <v>0</v>
      </c>
      <c r="K188" s="19">
        <v>0</v>
      </c>
      <c r="L188" s="19">
        <v>0</v>
      </c>
      <c r="M188" s="19">
        <v>0</v>
      </c>
      <c r="N188" s="20">
        <v>0</v>
      </c>
      <c r="O188" s="18">
        <f>SUM(P188:S188)</f>
        <v>0</v>
      </c>
      <c r="P188" s="19">
        <v>0</v>
      </c>
      <c r="Q188" s="20">
        <v>0</v>
      </c>
      <c r="R188" s="38">
        <v>0</v>
      </c>
      <c r="S188" s="20">
        <v>0</v>
      </c>
      <c r="T188" s="18">
        <f>SUM(U188:X188)</f>
        <v>2748</v>
      </c>
      <c r="U188" s="19">
        <v>0</v>
      </c>
      <c r="V188" s="20">
        <v>0</v>
      </c>
      <c r="W188" s="20">
        <f>1569.4+1178.6</f>
        <v>2748</v>
      </c>
      <c r="X188" s="20">
        <v>0</v>
      </c>
      <c r="Y188" s="18">
        <f>SUM(Z188:AC188)</f>
        <v>0</v>
      </c>
      <c r="Z188" s="19">
        <v>0</v>
      </c>
      <c r="AA188" s="20">
        <v>0</v>
      </c>
      <c r="AB188" s="20">
        <v>0</v>
      </c>
      <c r="AC188" s="20">
        <v>0</v>
      </c>
      <c r="AD188" s="18">
        <f>SUM(AE188:AH188)</f>
        <v>0</v>
      </c>
      <c r="AE188" s="19">
        <v>0</v>
      </c>
      <c r="AF188" s="20">
        <v>0</v>
      </c>
      <c r="AG188" s="20">
        <v>0</v>
      </c>
      <c r="AH188" s="20">
        <v>0</v>
      </c>
      <c r="AI188" s="18">
        <f>SUM(AJ188:AM188)</f>
        <v>0</v>
      </c>
      <c r="AJ188" s="19">
        <v>0</v>
      </c>
      <c r="AK188" s="20">
        <v>0</v>
      </c>
      <c r="AL188" s="20">
        <v>0</v>
      </c>
      <c r="AM188" s="20">
        <v>0</v>
      </c>
    </row>
    <row r="189" spans="1:39" s="2" customFormat="1" ht="92.25" customHeight="1" outlineLevel="2" x14ac:dyDescent="0.25">
      <c r="A189" s="8" t="s">
        <v>781</v>
      </c>
      <c r="B189" s="6" t="s">
        <v>787</v>
      </c>
      <c r="C189" s="26" t="s">
        <v>32</v>
      </c>
      <c r="D189" s="26" t="s">
        <v>118</v>
      </c>
      <c r="E189" s="20">
        <f t="shared" si="155"/>
        <v>2982.1</v>
      </c>
      <c r="F189" s="20">
        <f>K189</f>
        <v>0</v>
      </c>
      <c r="G189" s="38">
        <f t="shared" si="157"/>
        <v>0</v>
      </c>
      <c r="H189" s="38">
        <f t="shared" si="157"/>
        <v>2982.1</v>
      </c>
      <c r="I189" s="38">
        <f t="shared" si="157"/>
        <v>0</v>
      </c>
      <c r="J189" s="18">
        <f t="shared" si="156"/>
        <v>0</v>
      </c>
      <c r="K189" s="19">
        <v>0</v>
      </c>
      <c r="L189" s="19">
        <v>0</v>
      </c>
      <c r="M189" s="19">
        <v>0</v>
      </c>
      <c r="N189" s="20">
        <v>0</v>
      </c>
      <c r="O189" s="18">
        <f>SUM(P189:S189)</f>
        <v>0</v>
      </c>
      <c r="P189" s="19">
        <v>0</v>
      </c>
      <c r="Q189" s="20">
        <v>0</v>
      </c>
      <c r="R189" s="38">
        <v>0</v>
      </c>
      <c r="S189" s="20">
        <v>0</v>
      </c>
      <c r="T189" s="18">
        <f>SUM(U189:X189)</f>
        <v>2982.1</v>
      </c>
      <c r="U189" s="19">
        <v>0</v>
      </c>
      <c r="V189" s="20">
        <v>0</v>
      </c>
      <c r="W189" s="20">
        <v>2982.1</v>
      </c>
      <c r="X189" s="20">
        <v>0</v>
      </c>
      <c r="Y189" s="18">
        <f>SUM(Z189:AC189)</f>
        <v>0</v>
      </c>
      <c r="Z189" s="19">
        <v>0</v>
      </c>
      <c r="AA189" s="20">
        <v>0</v>
      </c>
      <c r="AB189" s="20">
        <v>0</v>
      </c>
      <c r="AC189" s="20">
        <v>0</v>
      </c>
      <c r="AD189" s="18">
        <f>SUM(AE189:AH189)</f>
        <v>0</v>
      </c>
      <c r="AE189" s="19">
        <v>0</v>
      </c>
      <c r="AF189" s="20">
        <v>0</v>
      </c>
      <c r="AG189" s="20">
        <v>0</v>
      </c>
      <c r="AH189" s="20">
        <v>0</v>
      </c>
      <c r="AI189" s="18">
        <f>SUM(AJ189:AM189)</f>
        <v>0</v>
      </c>
      <c r="AJ189" s="19">
        <v>0</v>
      </c>
      <c r="AK189" s="20">
        <v>0</v>
      </c>
      <c r="AL189" s="20">
        <v>0</v>
      </c>
      <c r="AM189" s="20">
        <v>0</v>
      </c>
    </row>
    <row r="190" spans="1:39" s="2" customFormat="1" ht="78.75" outlineLevel="2" x14ac:dyDescent="0.25">
      <c r="A190" s="8" t="s">
        <v>786</v>
      </c>
      <c r="B190" s="6" t="s">
        <v>788</v>
      </c>
      <c r="C190" s="26" t="s">
        <v>32</v>
      </c>
      <c r="D190" s="26" t="s">
        <v>118</v>
      </c>
      <c r="E190" s="20">
        <f t="shared" si="155"/>
        <v>2416.3000000000002</v>
      </c>
      <c r="F190" s="20">
        <f>K190</f>
        <v>0</v>
      </c>
      <c r="G190" s="38">
        <f t="shared" si="157"/>
        <v>0</v>
      </c>
      <c r="H190" s="38">
        <f t="shared" si="157"/>
        <v>2416.3000000000002</v>
      </c>
      <c r="I190" s="38">
        <f t="shared" si="157"/>
        <v>0</v>
      </c>
      <c r="J190" s="18">
        <f t="shared" si="156"/>
        <v>0</v>
      </c>
      <c r="K190" s="19">
        <v>0</v>
      </c>
      <c r="L190" s="19">
        <v>0</v>
      </c>
      <c r="M190" s="19">
        <v>0</v>
      </c>
      <c r="N190" s="20">
        <v>0</v>
      </c>
      <c r="O190" s="18">
        <f>SUM(P190:S190)</f>
        <v>0</v>
      </c>
      <c r="P190" s="19">
        <v>0</v>
      </c>
      <c r="Q190" s="20">
        <v>0</v>
      </c>
      <c r="R190" s="38">
        <v>0</v>
      </c>
      <c r="S190" s="20">
        <v>0</v>
      </c>
      <c r="T190" s="18">
        <f>SUM(U190:X190)</f>
        <v>2416.3000000000002</v>
      </c>
      <c r="U190" s="19">
        <v>0</v>
      </c>
      <c r="V190" s="20">
        <v>0</v>
      </c>
      <c r="W190" s="20">
        <v>2416.3000000000002</v>
      </c>
      <c r="X190" s="20">
        <v>0</v>
      </c>
      <c r="Y190" s="18">
        <f>SUM(Z190:AC190)</f>
        <v>0</v>
      </c>
      <c r="Z190" s="19">
        <v>0</v>
      </c>
      <c r="AA190" s="20">
        <v>0</v>
      </c>
      <c r="AB190" s="20">
        <v>0</v>
      </c>
      <c r="AC190" s="20">
        <v>0</v>
      </c>
      <c r="AD190" s="18">
        <f>SUM(AE190:AH190)</f>
        <v>0</v>
      </c>
      <c r="AE190" s="19">
        <v>0</v>
      </c>
      <c r="AF190" s="20">
        <v>0</v>
      </c>
      <c r="AG190" s="20">
        <v>0</v>
      </c>
      <c r="AH190" s="20">
        <v>0</v>
      </c>
      <c r="AI190" s="18">
        <f>SUM(AJ190:AM190)</f>
        <v>0</v>
      </c>
      <c r="AJ190" s="19">
        <v>0</v>
      </c>
      <c r="AK190" s="20">
        <v>0</v>
      </c>
      <c r="AL190" s="20">
        <v>0</v>
      </c>
      <c r="AM190" s="20">
        <v>0</v>
      </c>
    </row>
    <row r="191" spans="1:39" s="2" customFormat="1" ht="47.25" outlineLevel="3" x14ac:dyDescent="0.25">
      <c r="A191" s="8" t="s">
        <v>893</v>
      </c>
      <c r="B191" s="28" t="s">
        <v>845</v>
      </c>
      <c r="C191" s="26" t="s">
        <v>32</v>
      </c>
      <c r="D191" s="26" t="s">
        <v>118</v>
      </c>
      <c r="E191" s="20">
        <f t="shared" si="155"/>
        <v>4400</v>
      </c>
      <c r="F191" s="38">
        <f>K191+P191+U191+Z191+AE191+AJ191</f>
        <v>0</v>
      </c>
      <c r="G191" s="38">
        <f>L191+Q191+V191+AA191+AF191+AK191</f>
        <v>0</v>
      </c>
      <c r="H191" s="38">
        <f>M191+R191+W191+AB191+AG191+AL191</f>
        <v>4400</v>
      </c>
      <c r="I191" s="38"/>
      <c r="J191" s="18"/>
      <c r="K191" s="19"/>
      <c r="L191" s="19"/>
      <c r="M191" s="38"/>
      <c r="N191" s="20"/>
      <c r="O191" s="18"/>
      <c r="P191" s="19"/>
      <c r="Q191" s="38"/>
      <c r="R191" s="38"/>
      <c r="S191" s="38"/>
      <c r="T191" s="18">
        <f>W191</f>
        <v>4400</v>
      </c>
      <c r="U191" s="19"/>
      <c r="V191" s="19"/>
      <c r="W191" s="19">
        <v>4400</v>
      </c>
      <c r="X191" s="19"/>
      <c r="Y191" s="18"/>
      <c r="Z191" s="19"/>
      <c r="AA191" s="19"/>
      <c r="AB191" s="19"/>
      <c r="AC191" s="19"/>
      <c r="AD191" s="18"/>
      <c r="AE191" s="19"/>
      <c r="AF191" s="20"/>
      <c r="AG191" s="19"/>
      <c r="AH191" s="20"/>
      <c r="AI191" s="18"/>
      <c r="AJ191" s="19"/>
      <c r="AK191" s="20"/>
      <c r="AL191" s="38"/>
      <c r="AM191" s="38"/>
    </row>
    <row r="192" spans="1:39" s="2" customFormat="1" ht="43.5" customHeight="1" outlineLevel="1" x14ac:dyDescent="0.25">
      <c r="A192" s="138" t="s">
        <v>291</v>
      </c>
      <c r="B192" s="193" t="s">
        <v>292</v>
      </c>
      <c r="C192" s="193"/>
      <c r="D192" s="194"/>
      <c r="E192" s="20">
        <f>SUM(E193:E196)</f>
        <v>150</v>
      </c>
      <c r="F192" s="20">
        <f t="shared" ref="F192:X192" si="158">SUM(F193:F196)</f>
        <v>0</v>
      </c>
      <c r="G192" s="20">
        <f t="shared" si="158"/>
        <v>0</v>
      </c>
      <c r="H192" s="20">
        <f t="shared" si="158"/>
        <v>150</v>
      </c>
      <c r="I192" s="20">
        <f t="shared" si="158"/>
        <v>0</v>
      </c>
      <c r="J192" s="20">
        <f t="shared" si="158"/>
        <v>150</v>
      </c>
      <c r="K192" s="20">
        <f t="shared" si="158"/>
        <v>0</v>
      </c>
      <c r="L192" s="20">
        <f t="shared" si="158"/>
        <v>0</v>
      </c>
      <c r="M192" s="20">
        <f t="shared" si="158"/>
        <v>150</v>
      </c>
      <c r="N192" s="20">
        <f t="shared" si="158"/>
        <v>0</v>
      </c>
      <c r="O192" s="20">
        <f t="shared" si="158"/>
        <v>0</v>
      </c>
      <c r="P192" s="20">
        <f t="shared" si="158"/>
        <v>0</v>
      </c>
      <c r="Q192" s="20">
        <f t="shared" si="158"/>
        <v>0</v>
      </c>
      <c r="R192" s="20">
        <f>SUM(R193:R196)</f>
        <v>0</v>
      </c>
      <c r="S192" s="20">
        <f t="shared" si="158"/>
        <v>0</v>
      </c>
      <c r="T192" s="20">
        <f t="shared" si="158"/>
        <v>0</v>
      </c>
      <c r="U192" s="20">
        <f t="shared" si="158"/>
        <v>0</v>
      </c>
      <c r="V192" s="20">
        <f t="shared" si="158"/>
        <v>0</v>
      </c>
      <c r="W192" s="20">
        <f t="shared" si="158"/>
        <v>0</v>
      </c>
      <c r="X192" s="20">
        <f t="shared" si="158"/>
        <v>0</v>
      </c>
      <c r="Y192" s="20">
        <f t="shared" ref="Y192:AM192" si="159">SUM(Y193:Y196)</f>
        <v>0</v>
      </c>
      <c r="Z192" s="20">
        <f t="shared" si="159"/>
        <v>0</v>
      </c>
      <c r="AA192" s="20">
        <f t="shared" si="159"/>
        <v>0</v>
      </c>
      <c r="AB192" s="20">
        <f t="shared" si="159"/>
        <v>0</v>
      </c>
      <c r="AC192" s="20">
        <f t="shared" si="159"/>
        <v>0</v>
      </c>
      <c r="AD192" s="20">
        <f t="shared" si="159"/>
        <v>0</v>
      </c>
      <c r="AE192" s="20">
        <f t="shared" si="159"/>
        <v>0</v>
      </c>
      <c r="AF192" s="20">
        <f t="shared" si="159"/>
        <v>0</v>
      </c>
      <c r="AG192" s="20">
        <f t="shared" si="159"/>
        <v>0</v>
      </c>
      <c r="AH192" s="20">
        <f t="shared" si="159"/>
        <v>0</v>
      </c>
      <c r="AI192" s="20">
        <f t="shared" si="159"/>
        <v>0</v>
      </c>
      <c r="AJ192" s="20">
        <f t="shared" si="159"/>
        <v>0</v>
      </c>
      <c r="AK192" s="20">
        <f t="shared" si="159"/>
        <v>0</v>
      </c>
      <c r="AL192" s="20">
        <f t="shared" si="159"/>
        <v>0</v>
      </c>
      <c r="AM192" s="20">
        <f t="shared" si="159"/>
        <v>0</v>
      </c>
    </row>
    <row r="193" spans="1:39" s="2" customFormat="1" ht="31.5" outlineLevel="2" x14ac:dyDescent="0.25">
      <c r="A193" s="8" t="s">
        <v>293</v>
      </c>
      <c r="B193" s="30" t="s">
        <v>62</v>
      </c>
      <c r="C193" s="26" t="s">
        <v>32</v>
      </c>
      <c r="D193" s="26" t="s">
        <v>118</v>
      </c>
      <c r="E193" s="20">
        <f>SUM(F193:I193)</f>
        <v>28.3</v>
      </c>
      <c r="F193" s="38">
        <f>K193+P193+U193</f>
        <v>0</v>
      </c>
      <c r="G193" s="38">
        <f t="shared" si="142"/>
        <v>0</v>
      </c>
      <c r="H193" s="38">
        <f t="shared" si="142"/>
        <v>28.3</v>
      </c>
      <c r="I193" s="38">
        <f t="shared" si="142"/>
        <v>0</v>
      </c>
      <c r="J193" s="18">
        <f>SUM(K193:N193)</f>
        <v>28.3</v>
      </c>
      <c r="K193" s="19">
        <v>0</v>
      </c>
      <c r="L193" s="19">
        <v>0</v>
      </c>
      <c r="M193" s="47">
        <v>28.3</v>
      </c>
      <c r="N193" s="19">
        <v>0</v>
      </c>
      <c r="O193" s="18">
        <f t="shared" si="136"/>
        <v>0</v>
      </c>
      <c r="P193" s="19">
        <v>0</v>
      </c>
      <c r="Q193" s="19">
        <v>0</v>
      </c>
      <c r="R193" s="19">
        <v>0</v>
      </c>
      <c r="S193" s="19">
        <v>0</v>
      </c>
      <c r="T193" s="18">
        <f t="shared" si="143"/>
        <v>0</v>
      </c>
      <c r="U193" s="19">
        <v>0</v>
      </c>
      <c r="V193" s="19">
        <v>0</v>
      </c>
      <c r="W193" s="19">
        <v>0</v>
      </c>
      <c r="X193" s="19">
        <v>0</v>
      </c>
      <c r="Y193" s="18">
        <f t="shared" si="138"/>
        <v>0</v>
      </c>
      <c r="Z193" s="19">
        <v>0</v>
      </c>
      <c r="AA193" s="19">
        <v>0</v>
      </c>
      <c r="AB193" s="19">
        <v>0</v>
      </c>
      <c r="AC193" s="19">
        <v>0</v>
      </c>
      <c r="AD193" s="18">
        <f t="shared" si="141"/>
        <v>0</v>
      </c>
      <c r="AE193" s="19">
        <v>0</v>
      </c>
      <c r="AF193" s="19">
        <v>0</v>
      </c>
      <c r="AG193" s="19">
        <v>0</v>
      </c>
      <c r="AH193" s="19">
        <v>0</v>
      </c>
      <c r="AI193" s="18">
        <f t="shared" si="139"/>
        <v>0</v>
      </c>
      <c r="AJ193" s="19">
        <v>0</v>
      </c>
      <c r="AK193" s="19">
        <v>0</v>
      </c>
      <c r="AL193" s="19">
        <v>0</v>
      </c>
      <c r="AM193" s="19">
        <v>0</v>
      </c>
    </row>
    <row r="194" spans="1:39" s="2" customFormat="1" ht="31.5" outlineLevel="2" x14ac:dyDescent="0.25">
      <c r="A194" s="8" t="s">
        <v>294</v>
      </c>
      <c r="B194" s="30" t="s">
        <v>60</v>
      </c>
      <c r="C194" s="26" t="s">
        <v>32</v>
      </c>
      <c r="D194" s="26" t="s">
        <v>118</v>
      </c>
      <c r="E194" s="20">
        <f>SUM(F194:I194)</f>
        <v>17</v>
      </c>
      <c r="F194" s="38">
        <f>K194+P194+U194</f>
        <v>0</v>
      </c>
      <c r="G194" s="38">
        <f t="shared" si="142"/>
        <v>0</v>
      </c>
      <c r="H194" s="38">
        <f t="shared" si="142"/>
        <v>17</v>
      </c>
      <c r="I194" s="38">
        <f t="shared" si="142"/>
        <v>0</v>
      </c>
      <c r="J194" s="18">
        <f>SUM(K194:N194)</f>
        <v>17</v>
      </c>
      <c r="K194" s="19">
        <v>0</v>
      </c>
      <c r="L194" s="19">
        <v>0</v>
      </c>
      <c r="M194" s="47">
        <v>17</v>
      </c>
      <c r="N194" s="19">
        <v>0</v>
      </c>
      <c r="O194" s="18">
        <f t="shared" si="136"/>
        <v>0</v>
      </c>
      <c r="P194" s="19">
        <v>0</v>
      </c>
      <c r="Q194" s="19">
        <v>0</v>
      </c>
      <c r="R194" s="19">
        <v>0</v>
      </c>
      <c r="S194" s="19">
        <v>0</v>
      </c>
      <c r="T194" s="18">
        <f t="shared" si="143"/>
        <v>0</v>
      </c>
      <c r="U194" s="19">
        <v>0</v>
      </c>
      <c r="V194" s="19">
        <v>0</v>
      </c>
      <c r="W194" s="19">
        <v>0</v>
      </c>
      <c r="X194" s="19">
        <v>0</v>
      </c>
      <c r="Y194" s="18">
        <f t="shared" si="138"/>
        <v>0</v>
      </c>
      <c r="Z194" s="19">
        <v>0</v>
      </c>
      <c r="AA194" s="19">
        <v>0</v>
      </c>
      <c r="AB194" s="19">
        <v>0</v>
      </c>
      <c r="AC194" s="19">
        <v>0</v>
      </c>
      <c r="AD194" s="18">
        <f t="shared" si="141"/>
        <v>0</v>
      </c>
      <c r="AE194" s="19">
        <v>0</v>
      </c>
      <c r="AF194" s="19">
        <v>0</v>
      </c>
      <c r="AG194" s="19">
        <v>0</v>
      </c>
      <c r="AH194" s="19">
        <v>0</v>
      </c>
      <c r="AI194" s="18">
        <f t="shared" si="139"/>
        <v>0</v>
      </c>
      <c r="AJ194" s="19">
        <v>0</v>
      </c>
      <c r="AK194" s="19">
        <v>0</v>
      </c>
      <c r="AL194" s="19">
        <v>0</v>
      </c>
      <c r="AM194" s="19">
        <v>0</v>
      </c>
    </row>
    <row r="195" spans="1:39" s="2" customFormat="1" ht="31.5" outlineLevel="2" x14ac:dyDescent="0.25">
      <c r="A195" s="8" t="s">
        <v>295</v>
      </c>
      <c r="B195" s="30" t="s">
        <v>54</v>
      </c>
      <c r="C195" s="26" t="s">
        <v>32</v>
      </c>
      <c r="D195" s="26" t="s">
        <v>118</v>
      </c>
      <c r="E195" s="20">
        <f>SUM(F195:I195)</f>
        <v>41.1</v>
      </c>
      <c r="F195" s="38">
        <f>K195+P195+U195</f>
        <v>0</v>
      </c>
      <c r="G195" s="38">
        <f t="shared" si="142"/>
        <v>0</v>
      </c>
      <c r="H195" s="38">
        <f t="shared" si="142"/>
        <v>41.1</v>
      </c>
      <c r="I195" s="38">
        <f t="shared" si="142"/>
        <v>0</v>
      </c>
      <c r="J195" s="18">
        <f>SUM(K195:N195)</f>
        <v>41.1</v>
      </c>
      <c r="K195" s="19">
        <v>0</v>
      </c>
      <c r="L195" s="19">
        <v>0</v>
      </c>
      <c r="M195" s="47">
        <v>41.1</v>
      </c>
      <c r="N195" s="19">
        <v>0</v>
      </c>
      <c r="O195" s="18">
        <f t="shared" si="136"/>
        <v>0</v>
      </c>
      <c r="P195" s="19">
        <v>0</v>
      </c>
      <c r="Q195" s="19">
        <v>0</v>
      </c>
      <c r="R195" s="19">
        <v>0</v>
      </c>
      <c r="S195" s="19">
        <v>0</v>
      </c>
      <c r="T195" s="18">
        <f t="shared" si="143"/>
        <v>0</v>
      </c>
      <c r="U195" s="19">
        <v>0</v>
      </c>
      <c r="V195" s="19">
        <v>0</v>
      </c>
      <c r="W195" s="19">
        <v>0</v>
      </c>
      <c r="X195" s="19">
        <v>0</v>
      </c>
      <c r="Y195" s="18">
        <f t="shared" si="138"/>
        <v>0</v>
      </c>
      <c r="Z195" s="19">
        <v>0</v>
      </c>
      <c r="AA195" s="19">
        <v>0</v>
      </c>
      <c r="AB195" s="19">
        <v>0</v>
      </c>
      <c r="AC195" s="19">
        <v>0</v>
      </c>
      <c r="AD195" s="18">
        <f t="shared" si="141"/>
        <v>0</v>
      </c>
      <c r="AE195" s="19">
        <v>0</v>
      </c>
      <c r="AF195" s="19">
        <v>0</v>
      </c>
      <c r="AG195" s="19">
        <v>0</v>
      </c>
      <c r="AH195" s="19">
        <v>0</v>
      </c>
      <c r="AI195" s="18">
        <f t="shared" si="139"/>
        <v>0</v>
      </c>
      <c r="AJ195" s="19">
        <v>0</v>
      </c>
      <c r="AK195" s="19">
        <v>0</v>
      </c>
      <c r="AL195" s="19">
        <v>0</v>
      </c>
      <c r="AM195" s="19">
        <v>0</v>
      </c>
    </row>
    <row r="196" spans="1:39" s="2" customFormat="1" ht="31.5" outlineLevel="2" x14ac:dyDescent="0.25">
      <c r="A196" s="8" t="s">
        <v>296</v>
      </c>
      <c r="B196" s="30" t="s">
        <v>53</v>
      </c>
      <c r="C196" s="26" t="s">
        <v>32</v>
      </c>
      <c r="D196" s="26" t="s">
        <v>118</v>
      </c>
      <c r="E196" s="20">
        <f>SUM(F196:I196)</f>
        <v>63.6</v>
      </c>
      <c r="F196" s="38">
        <f>K196+P196+U196</f>
        <v>0</v>
      </c>
      <c r="G196" s="38">
        <f t="shared" si="142"/>
        <v>0</v>
      </c>
      <c r="H196" s="38">
        <f t="shared" si="142"/>
        <v>63.6</v>
      </c>
      <c r="I196" s="38">
        <f t="shared" si="142"/>
        <v>0</v>
      </c>
      <c r="J196" s="18">
        <f>SUM(K196:N196)</f>
        <v>63.6</v>
      </c>
      <c r="K196" s="19">
        <v>0</v>
      </c>
      <c r="L196" s="19">
        <v>0</v>
      </c>
      <c r="M196" s="47">
        <v>63.6</v>
      </c>
      <c r="N196" s="19">
        <v>0</v>
      </c>
      <c r="O196" s="18">
        <f t="shared" si="136"/>
        <v>0</v>
      </c>
      <c r="P196" s="19">
        <v>0</v>
      </c>
      <c r="Q196" s="19">
        <v>0</v>
      </c>
      <c r="R196" s="19">
        <v>0</v>
      </c>
      <c r="S196" s="19">
        <v>0</v>
      </c>
      <c r="T196" s="18">
        <f t="shared" si="143"/>
        <v>0</v>
      </c>
      <c r="U196" s="19">
        <v>0</v>
      </c>
      <c r="V196" s="19">
        <v>0</v>
      </c>
      <c r="W196" s="19">
        <v>0</v>
      </c>
      <c r="X196" s="19">
        <v>0</v>
      </c>
      <c r="Y196" s="18">
        <f t="shared" si="138"/>
        <v>0</v>
      </c>
      <c r="Z196" s="19">
        <v>0</v>
      </c>
      <c r="AA196" s="19">
        <v>0</v>
      </c>
      <c r="AB196" s="19">
        <v>0</v>
      </c>
      <c r="AC196" s="19">
        <v>0</v>
      </c>
      <c r="AD196" s="18">
        <f t="shared" si="141"/>
        <v>0</v>
      </c>
      <c r="AE196" s="19">
        <v>0</v>
      </c>
      <c r="AF196" s="19">
        <v>0</v>
      </c>
      <c r="AG196" s="19">
        <v>0</v>
      </c>
      <c r="AH196" s="19">
        <v>0</v>
      </c>
      <c r="AI196" s="18">
        <f t="shared" si="139"/>
        <v>0</v>
      </c>
      <c r="AJ196" s="19">
        <v>0</v>
      </c>
      <c r="AK196" s="19">
        <v>0</v>
      </c>
      <c r="AL196" s="19">
        <v>0</v>
      </c>
      <c r="AM196" s="19">
        <v>0</v>
      </c>
    </row>
    <row r="197" spans="1:39" s="2" customFormat="1" ht="36.75" customHeight="1" outlineLevel="1" x14ac:dyDescent="0.25">
      <c r="A197" s="138" t="s">
        <v>318</v>
      </c>
      <c r="B197" s="193" t="s">
        <v>319</v>
      </c>
      <c r="C197" s="193"/>
      <c r="D197" s="194"/>
      <c r="E197" s="20">
        <f>SUM(E198:E199)</f>
        <v>69480.2</v>
      </c>
      <c r="F197" s="20">
        <f t="shared" ref="F197:AM197" si="160">SUM(F198:F199)</f>
        <v>0</v>
      </c>
      <c r="G197" s="20">
        <f t="shared" si="160"/>
        <v>68785.3</v>
      </c>
      <c r="H197" s="20">
        <f t="shared" si="160"/>
        <v>694.9</v>
      </c>
      <c r="I197" s="20">
        <f t="shared" si="160"/>
        <v>0</v>
      </c>
      <c r="J197" s="20">
        <f t="shared" si="160"/>
        <v>6240.3</v>
      </c>
      <c r="K197" s="20">
        <f t="shared" si="160"/>
        <v>0</v>
      </c>
      <c r="L197" s="20">
        <f t="shared" si="160"/>
        <v>6177.8</v>
      </c>
      <c r="M197" s="20">
        <f t="shared" si="160"/>
        <v>62.5</v>
      </c>
      <c r="N197" s="20">
        <f t="shared" si="160"/>
        <v>0</v>
      </c>
      <c r="O197" s="20">
        <f t="shared" si="160"/>
        <v>0</v>
      </c>
      <c r="P197" s="20">
        <f t="shared" si="160"/>
        <v>0</v>
      </c>
      <c r="Q197" s="20">
        <f t="shared" si="160"/>
        <v>0</v>
      </c>
      <c r="R197" s="20">
        <f t="shared" si="160"/>
        <v>0</v>
      </c>
      <c r="S197" s="20">
        <f t="shared" si="160"/>
        <v>0</v>
      </c>
      <c r="T197" s="20">
        <f t="shared" si="160"/>
        <v>63239.9</v>
      </c>
      <c r="U197" s="20">
        <f t="shared" si="160"/>
        <v>0</v>
      </c>
      <c r="V197" s="20">
        <f t="shared" si="160"/>
        <v>62607.5</v>
      </c>
      <c r="W197" s="20">
        <f t="shared" si="160"/>
        <v>632.4</v>
      </c>
      <c r="X197" s="20">
        <f t="shared" si="160"/>
        <v>0</v>
      </c>
      <c r="Y197" s="20">
        <f t="shared" si="160"/>
        <v>0</v>
      </c>
      <c r="Z197" s="20">
        <f t="shared" si="160"/>
        <v>0</v>
      </c>
      <c r="AA197" s="20">
        <f t="shared" si="160"/>
        <v>0</v>
      </c>
      <c r="AB197" s="20">
        <f t="shared" si="160"/>
        <v>0</v>
      </c>
      <c r="AC197" s="20">
        <f t="shared" si="160"/>
        <v>0</v>
      </c>
      <c r="AD197" s="20">
        <f t="shared" si="160"/>
        <v>0</v>
      </c>
      <c r="AE197" s="20">
        <f t="shared" si="160"/>
        <v>0</v>
      </c>
      <c r="AF197" s="20">
        <f t="shared" si="160"/>
        <v>0</v>
      </c>
      <c r="AG197" s="20">
        <f t="shared" si="160"/>
        <v>0</v>
      </c>
      <c r="AH197" s="20">
        <f t="shared" si="160"/>
        <v>0</v>
      </c>
      <c r="AI197" s="20">
        <f t="shared" si="160"/>
        <v>0</v>
      </c>
      <c r="AJ197" s="20">
        <f t="shared" si="160"/>
        <v>0</v>
      </c>
      <c r="AK197" s="20">
        <f t="shared" si="160"/>
        <v>0</v>
      </c>
      <c r="AL197" s="20">
        <f t="shared" si="160"/>
        <v>0</v>
      </c>
      <c r="AM197" s="20">
        <f t="shared" si="160"/>
        <v>0</v>
      </c>
    </row>
    <row r="198" spans="1:39" s="2" customFormat="1" ht="78.75" outlineLevel="2" x14ac:dyDescent="0.25">
      <c r="A198" s="8" t="s">
        <v>320</v>
      </c>
      <c r="B198" s="30" t="s">
        <v>321</v>
      </c>
      <c r="C198" s="26" t="s">
        <v>377</v>
      </c>
      <c r="D198" s="26" t="s">
        <v>23</v>
      </c>
      <c r="E198" s="20">
        <f>SUM(F198:I198)</f>
        <v>6240.3</v>
      </c>
      <c r="F198" s="38">
        <f>K198+P198+U198</f>
        <v>0</v>
      </c>
      <c r="G198" s="38">
        <f t="shared" si="142"/>
        <v>6177.8</v>
      </c>
      <c r="H198" s="38">
        <f t="shared" si="142"/>
        <v>62.5</v>
      </c>
      <c r="I198" s="38">
        <f t="shared" si="142"/>
        <v>0</v>
      </c>
      <c r="J198" s="18">
        <f>SUM(K198:N198)</f>
        <v>6240.3</v>
      </c>
      <c r="K198" s="19">
        <v>0</v>
      </c>
      <c r="L198" s="19">
        <v>6177.8</v>
      </c>
      <c r="M198" s="47">
        <v>62.5</v>
      </c>
      <c r="N198" s="20">
        <v>0</v>
      </c>
      <c r="O198" s="18">
        <f t="shared" si="136"/>
        <v>0</v>
      </c>
      <c r="P198" s="19">
        <v>0</v>
      </c>
      <c r="Q198" s="19">
        <v>0</v>
      </c>
      <c r="R198" s="19">
        <v>0</v>
      </c>
      <c r="S198" s="19">
        <v>0</v>
      </c>
      <c r="T198" s="18">
        <f t="shared" si="143"/>
        <v>0</v>
      </c>
      <c r="U198" s="19">
        <v>0</v>
      </c>
      <c r="V198" s="19">
        <v>0</v>
      </c>
      <c r="W198" s="19">
        <v>0</v>
      </c>
      <c r="X198" s="19">
        <v>0</v>
      </c>
      <c r="Y198" s="18">
        <f t="shared" si="138"/>
        <v>0</v>
      </c>
      <c r="Z198" s="19">
        <v>0</v>
      </c>
      <c r="AA198" s="19">
        <v>0</v>
      </c>
      <c r="AB198" s="19">
        <v>0</v>
      </c>
      <c r="AC198" s="19">
        <v>0</v>
      </c>
      <c r="AD198" s="18">
        <f t="shared" si="141"/>
        <v>0</v>
      </c>
      <c r="AE198" s="19">
        <v>0</v>
      </c>
      <c r="AF198" s="19">
        <v>0</v>
      </c>
      <c r="AG198" s="19">
        <v>0</v>
      </c>
      <c r="AH198" s="19">
        <v>0</v>
      </c>
      <c r="AI198" s="18">
        <f t="shared" si="139"/>
        <v>0</v>
      </c>
      <c r="AJ198" s="19">
        <v>0</v>
      </c>
      <c r="AK198" s="19">
        <v>0</v>
      </c>
      <c r="AL198" s="19">
        <v>0</v>
      </c>
      <c r="AM198" s="19">
        <v>0</v>
      </c>
    </row>
    <row r="199" spans="1:39" s="2" customFormat="1" ht="47.25" outlineLevel="2" x14ac:dyDescent="0.25">
      <c r="A199" s="8" t="s">
        <v>794</v>
      </c>
      <c r="B199" s="30" t="s">
        <v>795</v>
      </c>
      <c r="C199" s="26" t="s">
        <v>32</v>
      </c>
      <c r="D199" s="26" t="s">
        <v>32</v>
      </c>
      <c r="E199" s="20">
        <f>SUM(F199:I199)</f>
        <v>63239.9</v>
      </c>
      <c r="F199" s="38">
        <f>K199+P199+U199</f>
        <v>0</v>
      </c>
      <c r="G199" s="38">
        <f>L199+Q199+V199+AA199+AF199+AK199</f>
        <v>62607.5</v>
      </c>
      <c r="H199" s="38">
        <f>M199+R199+W199+AB199+AG199+AL199</f>
        <v>632.4</v>
      </c>
      <c r="I199" s="38"/>
      <c r="J199" s="18"/>
      <c r="K199" s="19"/>
      <c r="L199" s="19"/>
      <c r="M199" s="47"/>
      <c r="N199" s="20"/>
      <c r="O199" s="18"/>
      <c r="P199" s="19"/>
      <c r="Q199" s="19"/>
      <c r="R199" s="19"/>
      <c r="S199" s="19"/>
      <c r="T199" s="18">
        <f>V199+W199</f>
        <v>63239.9</v>
      </c>
      <c r="U199" s="19"/>
      <c r="V199" s="19">
        <v>62607.5</v>
      </c>
      <c r="W199" s="19">
        <v>632.4</v>
      </c>
      <c r="X199" s="19"/>
      <c r="Y199" s="18"/>
      <c r="Z199" s="19"/>
      <c r="AA199" s="19"/>
      <c r="AB199" s="19"/>
      <c r="AC199" s="19"/>
      <c r="AD199" s="18"/>
      <c r="AE199" s="19"/>
      <c r="AF199" s="19"/>
      <c r="AG199" s="19"/>
      <c r="AH199" s="19"/>
      <c r="AI199" s="18"/>
      <c r="AJ199" s="19"/>
      <c r="AK199" s="19"/>
      <c r="AL199" s="19"/>
      <c r="AM199" s="19"/>
    </row>
    <row r="200" spans="1:39" s="2" customFormat="1" ht="36.75" customHeight="1" outlineLevel="1" x14ac:dyDescent="0.25">
      <c r="A200" s="138" t="s">
        <v>758</v>
      </c>
      <c r="B200" s="193" t="s">
        <v>759</v>
      </c>
      <c r="C200" s="193"/>
      <c r="D200" s="194"/>
      <c r="E200" s="20">
        <f>SUM(E201)</f>
        <v>7879.8</v>
      </c>
      <c r="F200" s="20">
        <f t="shared" ref="F200:AM200" si="161">SUM(F201)</f>
        <v>0</v>
      </c>
      <c r="G200" s="20">
        <f t="shared" si="161"/>
        <v>0</v>
      </c>
      <c r="H200" s="20">
        <f t="shared" si="161"/>
        <v>7879.8</v>
      </c>
      <c r="I200" s="20">
        <f t="shared" si="161"/>
        <v>0</v>
      </c>
      <c r="J200" s="20">
        <f t="shared" si="161"/>
        <v>0</v>
      </c>
      <c r="K200" s="20">
        <f t="shared" si="161"/>
        <v>0</v>
      </c>
      <c r="L200" s="20">
        <f t="shared" si="161"/>
        <v>0</v>
      </c>
      <c r="M200" s="20">
        <f t="shared" si="161"/>
        <v>0</v>
      </c>
      <c r="N200" s="20">
        <f t="shared" si="161"/>
        <v>0</v>
      </c>
      <c r="O200" s="20">
        <f t="shared" si="161"/>
        <v>0</v>
      </c>
      <c r="P200" s="20">
        <f t="shared" si="161"/>
        <v>0</v>
      </c>
      <c r="Q200" s="20">
        <f t="shared" si="161"/>
        <v>0</v>
      </c>
      <c r="R200" s="20">
        <f t="shared" si="161"/>
        <v>0</v>
      </c>
      <c r="S200" s="20">
        <f>SUM(S201)</f>
        <v>0</v>
      </c>
      <c r="T200" s="20">
        <f t="shared" si="161"/>
        <v>7879.8</v>
      </c>
      <c r="U200" s="20">
        <f t="shared" si="161"/>
        <v>0</v>
      </c>
      <c r="V200" s="20">
        <f t="shared" si="161"/>
        <v>0</v>
      </c>
      <c r="W200" s="20">
        <f t="shared" si="161"/>
        <v>7879.8</v>
      </c>
      <c r="X200" s="20">
        <f t="shared" si="161"/>
        <v>0</v>
      </c>
      <c r="Y200" s="20">
        <f t="shared" si="161"/>
        <v>0</v>
      </c>
      <c r="Z200" s="20">
        <f t="shared" si="161"/>
        <v>0</v>
      </c>
      <c r="AA200" s="20">
        <f t="shared" si="161"/>
        <v>0</v>
      </c>
      <c r="AB200" s="20">
        <f t="shared" si="161"/>
        <v>0</v>
      </c>
      <c r="AC200" s="20">
        <f t="shared" si="161"/>
        <v>0</v>
      </c>
      <c r="AD200" s="20">
        <f t="shared" si="161"/>
        <v>0</v>
      </c>
      <c r="AE200" s="20">
        <f t="shared" si="161"/>
        <v>0</v>
      </c>
      <c r="AF200" s="20">
        <f t="shared" si="161"/>
        <v>0</v>
      </c>
      <c r="AG200" s="20">
        <f t="shared" si="161"/>
        <v>0</v>
      </c>
      <c r="AH200" s="20">
        <f t="shared" si="161"/>
        <v>0</v>
      </c>
      <c r="AI200" s="20">
        <f t="shared" si="161"/>
        <v>0</v>
      </c>
      <c r="AJ200" s="20">
        <f t="shared" si="161"/>
        <v>0</v>
      </c>
      <c r="AK200" s="20">
        <f t="shared" si="161"/>
        <v>0</v>
      </c>
      <c r="AL200" s="20">
        <f t="shared" si="161"/>
        <v>0</v>
      </c>
      <c r="AM200" s="20">
        <f t="shared" si="161"/>
        <v>0</v>
      </c>
    </row>
    <row r="201" spans="1:39" s="2" customFormat="1" ht="110.25" outlineLevel="2" x14ac:dyDescent="0.25">
      <c r="A201" s="8" t="s">
        <v>760</v>
      </c>
      <c r="B201" s="30" t="s">
        <v>761</v>
      </c>
      <c r="C201" s="26" t="s">
        <v>762</v>
      </c>
      <c r="D201" s="26" t="s">
        <v>762</v>
      </c>
      <c r="E201" s="20">
        <f>SUM(F201:I201)</f>
        <v>7879.8</v>
      </c>
      <c r="F201" s="38">
        <f>K201+P201+U201</f>
        <v>0</v>
      </c>
      <c r="G201" s="38">
        <f>L201+Q201+V201+AA201+AF201+AK201</f>
        <v>0</v>
      </c>
      <c r="H201" s="38">
        <f>M201+R201+W201+AB201+AG201+AL201</f>
        <v>7879.8</v>
      </c>
      <c r="I201" s="38">
        <f>N201+S201+X201+AC201+AH201+AM201</f>
        <v>0</v>
      </c>
      <c r="J201" s="18">
        <f>SUM(K201:N201)</f>
        <v>0</v>
      </c>
      <c r="K201" s="19">
        <v>0</v>
      </c>
      <c r="L201" s="19">
        <v>0</v>
      </c>
      <c r="M201" s="47">
        <v>0</v>
      </c>
      <c r="N201" s="20">
        <v>0</v>
      </c>
      <c r="O201" s="18">
        <f>SUM(P201:S201)</f>
        <v>0</v>
      </c>
      <c r="P201" s="19">
        <v>0</v>
      </c>
      <c r="Q201" s="19">
        <v>0</v>
      </c>
      <c r="R201" s="19">
        <v>0</v>
      </c>
      <c r="S201" s="19">
        <v>0</v>
      </c>
      <c r="T201" s="18">
        <f>SUM(U201:X201)</f>
        <v>7879.8</v>
      </c>
      <c r="U201" s="19">
        <v>0</v>
      </c>
      <c r="V201" s="19">
        <v>0</v>
      </c>
      <c r="W201" s="19">
        <v>7879.8</v>
      </c>
      <c r="X201" s="19">
        <v>0</v>
      </c>
      <c r="Y201" s="18">
        <f>SUM(Z201:AC201)</f>
        <v>0</v>
      </c>
      <c r="Z201" s="19">
        <v>0</v>
      </c>
      <c r="AA201" s="19">
        <v>0</v>
      </c>
      <c r="AB201" s="19">
        <v>0</v>
      </c>
      <c r="AC201" s="19">
        <v>0</v>
      </c>
      <c r="AD201" s="18">
        <f>SUM(AE201:AH201)</f>
        <v>0</v>
      </c>
      <c r="AE201" s="19">
        <v>0</v>
      </c>
      <c r="AF201" s="19">
        <v>0</v>
      </c>
      <c r="AG201" s="19">
        <v>0</v>
      </c>
      <c r="AH201" s="19">
        <v>0</v>
      </c>
      <c r="AI201" s="18">
        <f>SUM(AJ201:AM201)</f>
        <v>0</v>
      </c>
      <c r="AJ201" s="19">
        <v>0</v>
      </c>
      <c r="AK201" s="19">
        <v>0</v>
      </c>
      <c r="AL201" s="19">
        <v>0</v>
      </c>
      <c r="AM201" s="19">
        <v>0</v>
      </c>
    </row>
    <row r="202" spans="1:39" s="5" customFormat="1" ht="42.75" customHeight="1" x14ac:dyDescent="0.25">
      <c r="A202" s="138">
        <v>3</v>
      </c>
      <c r="B202" s="197" t="s">
        <v>3</v>
      </c>
      <c r="C202" s="198"/>
      <c r="D202" s="198"/>
      <c r="E202" s="18">
        <f t="shared" ref="E202:AM202" si="162">E203+E209+E230+E234</f>
        <v>225395.10000000006</v>
      </c>
      <c r="F202" s="18">
        <f t="shared" si="162"/>
        <v>0</v>
      </c>
      <c r="G202" s="18">
        <f t="shared" si="162"/>
        <v>13201.7</v>
      </c>
      <c r="H202" s="18">
        <f t="shared" si="162"/>
        <v>210734.50000000006</v>
      </c>
      <c r="I202" s="18">
        <f t="shared" si="162"/>
        <v>1458.9</v>
      </c>
      <c r="J202" s="18">
        <f t="shared" si="162"/>
        <v>44560.100000000006</v>
      </c>
      <c r="K202" s="18">
        <f t="shared" si="162"/>
        <v>0</v>
      </c>
      <c r="L202" s="18">
        <f t="shared" si="162"/>
        <v>0</v>
      </c>
      <c r="M202" s="18">
        <f t="shared" si="162"/>
        <v>44479.8</v>
      </c>
      <c r="N202" s="18">
        <f t="shared" si="162"/>
        <v>80.3</v>
      </c>
      <c r="O202" s="18">
        <f t="shared" si="162"/>
        <v>8837</v>
      </c>
      <c r="P202" s="18">
        <f t="shared" si="162"/>
        <v>0</v>
      </c>
      <c r="Q202" s="18">
        <f t="shared" si="162"/>
        <v>0</v>
      </c>
      <c r="R202" s="18">
        <f t="shared" si="162"/>
        <v>8791.7000000000007</v>
      </c>
      <c r="S202" s="18">
        <f t="shared" si="162"/>
        <v>45.3</v>
      </c>
      <c r="T202" s="18">
        <f t="shared" si="162"/>
        <v>128704.79999999999</v>
      </c>
      <c r="U202" s="18">
        <f t="shared" si="162"/>
        <v>0</v>
      </c>
      <c r="V202" s="18">
        <f t="shared" si="162"/>
        <v>13201.7</v>
      </c>
      <c r="W202" s="18">
        <f t="shared" si="162"/>
        <v>114602.8</v>
      </c>
      <c r="X202" s="18">
        <f t="shared" si="162"/>
        <v>900.3</v>
      </c>
      <c r="Y202" s="18">
        <f t="shared" si="162"/>
        <v>0</v>
      </c>
      <c r="Z202" s="18">
        <f t="shared" si="162"/>
        <v>0</v>
      </c>
      <c r="AA202" s="18">
        <f t="shared" si="162"/>
        <v>0</v>
      </c>
      <c r="AB202" s="18">
        <f t="shared" si="162"/>
        <v>0</v>
      </c>
      <c r="AC202" s="18">
        <f t="shared" si="162"/>
        <v>0</v>
      </c>
      <c r="AD202" s="18">
        <f t="shared" si="162"/>
        <v>43293.2</v>
      </c>
      <c r="AE202" s="18">
        <f t="shared" si="162"/>
        <v>0</v>
      </c>
      <c r="AF202" s="18">
        <f t="shared" si="162"/>
        <v>0</v>
      </c>
      <c r="AG202" s="18">
        <f t="shared" si="162"/>
        <v>42860.2</v>
      </c>
      <c r="AH202" s="18">
        <f t="shared" si="162"/>
        <v>433</v>
      </c>
      <c r="AI202" s="18">
        <f t="shared" si="162"/>
        <v>0</v>
      </c>
      <c r="AJ202" s="18">
        <f t="shared" si="162"/>
        <v>0</v>
      </c>
      <c r="AK202" s="18">
        <f t="shared" si="162"/>
        <v>0</v>
      </c>
      <c r="AL202" s="18">
        <f t="shared" si="162"/>
        <v>0</v>
      </c>
      <c r="AM202" s="18">
        <f t="shared" si="162"/>
        <v>0</v>
      </c>
    </row>
    <row r="203" spans="1:39" s="5" customFormat="1" ht="36" customHeight="1" outlineLevel="1" x14ac:dyDescent="0.25">
      <c r="A203" s="138" t="s">
        <v>181</v>
      </c>
      <c r="B203" s="173" t="s">
        <v>719</v>
      </c>
      <c r="C203" s="174"/>
      <c r="D203" s="174"/>
      <c r="E203" s="18">
        <f>SUM(E204:E208)</f>
        <v>9231.1999999999989</v>
      </c>
      <c r="F203" s="18">
        <f t="shared" ref="F203:AM203" si="163">SUM(F204:F208)</f>
        <v>0</v>
      </c>
      <c r="G203" s="18">
        <f t="shared" si="163"/>
        <v>0</v>
      </c>
      <c r="H203" s="18">
        <f t="shared" si="163"/>
        <v>9231.1999999999989</v>
      </c>
      <c r="I203" s="18">
        <f t="shared" si="163"/>
        <v>0</v>
      </c>
      <c r="J203" s="18">
        <f t="shared" si="163"/>
        <v>2783.0999999999995</v>
      </c>
      <c r="K203" s="18">
        <f t="shared" si="163"/>
        <v>0</v>
      </c>
      <c r="L203" s="18">
        <f t="shared" si="163"/>
        <v>0</v>
      </c>
      <c r="M203" s="18">
        <f t="shared" si="163"/>
        <v>2783.0999999999995</v>
      </c>
      <c r="N203" s="18">
        <f t="shared" si="163"/>
        <v>0</v>
      </c>
      <c r="O203" s="18">
        <f t="shared" si="163"/>
        <v>4224.6000000000004</v>
      </c>
      <c r="P203" s="18">
        <f t="shared" si="163"/>
        <v>0</v>
      </c>
      <c r="Q203" s="18">
        <f t="shared" si="163"/>
        <v>0</v>
      </c>
      <c r="R203" s="18">
        <f t="shared" si="163"/>
        <v>4224.6000000000004</v>
      </c>
      <c r="S203" s="18">
        <f t="shared" si="163"/>
        <v>0</v>
      </c>
      <c r="T203" s="18">
        <f t="shared" si="163"/>
        <v>2223.5</v>
      </c>
      <c r="U203" s="18">
        <f t="shared" si="163"/>
        <v>0</v>
      </c>
      <c r="V203" s="18">
        <f t="shared" si="163"/>
        <v>0</v>
      </c>
      <c r="W203" s="18">
        <f t="shared" si="163"/>
        <v>2223.5</v>
      </c>
      <c r="X203" s="18">
        <f t="shared" si="163"/>
        <v>0</v>
      </c>
      <c r="Y203" s="18">
        <f t="shared" si="163"/>
        <v>0</v>
      </c>
      <c r="Z203" s="18">
        <f t="shared" si="163"/>
        <v>0</v>
      </c>
      <c r="AA203" s="18">
        <f t="shared" si="163"/>
        <v>0</v>
      </c>
      <c r="AB203" s="18">
        <f t="shared" si="163"/>
        <v>0</v>
      </c>
      <c r="AC203" s="18">
        <f t="shared" si="163"/>
        <v>0</v>
      </c>
      <c r="AD203" s="18">
        <f t="shared" si="163"/>
        <v>0</v>
      </c>
      <c r="AE203" s="18">
        <f t="shared" si="163"/>
        <v>0</v>
      </c>
      <c r="AF203" s="18">
        <f t="shared" si="163"/>
        <v>0</v>
      </c>
      <c r="AG203" s="18">
        <f t="shared" si="163"/>
        <v>0</v>
      </c>
      <c r="AH203" s="18">
        <f t="shared" si="163"/>
        <v>0</v>
      </c>
      <c r="AI203" s="18">
        <f t="shared" si="163"/>
        <v>0</v>
      </c>
      <c r="AJ203" s="18">
        <f t="shared" si="163"/>
        <v>0</v>
      </c>
      <c r="AK203" s="18">
        <f t="shared" si="163"/>
        <v>0</v>
      </c>
      <c r="AL203" s="18">
        <f t="shared" si="163"/>
        <v>0</v>
      </c>
      <c r="AM203" s="18">
        <f t="shared" si="163"/>
        <v>0</v>
      </c>
    </row>
    <row r="204" spans="1:39" s="2" customFormat="1" ht="204.75" outlineLevel="2" x14ac:dyDescent="0.25">
      <c r="A204" s="8" t="s">
        <v>179</v>
      </c>
      <c r="B204" s="32" t="s">
        <v>297</v>
      </c>
      <c r="C204" s="26" t="s">
        <v>32</v>
      </c>
      <c r="D204" s="26" t="s">
        <v>377</v>
      </c>
      <c r="E204" s="20">
        <f>SUM(F204:I204)</f>
        <v>2783.0999999999995</v>
      </c>
      <c r="F204" s="38">
        <f>K204+P204+U204</f>
        <v>0</v>
      </c>
      <c r="G204" s="38">
        <f t="shared" ref="G204:I208" si="164">L204+Q204+V204+AA204+AF204+AK204</f>
        <v>0</v>
      </c>
      <c r="H204" s="38">
        <f t="shared" si="164"/>
        <v>2783.0999999999995</v>
      </c>
      <c r="I204" s="38">
        <f t="shared" si="164"/>
        <v>0</v>
      </c>
      <c r="J204" s="18">
        <f>SUM(K204:N204)</f>
        <v>2783.0999999999995</v>
      </c>
      <c r="K204" s="19">
        <v>0</v>
      </c>
      <c r="L204" s="19">
        <v>0</v>
      </c>
      <c r="M204" s="19">
        <f>2840.7+636.2-693.8</f>
        <v>2783.0999999999995</v>
      </c>
      <c r="N204" s="19">
        <v>0</v>
      </c>
      <c r="O204" s="18">
        <f>SUM(P204:S204)</f>
        <v>0</v>
      </c>
      <c r="P204" s="19">
        <v>0</v>
      </c>
      <c r="Q204" s="19">
        <v>0</v>
      </c>
      <c r="R204" s="19">
        <v>0</v>
      </c>
      <c r="S204" s="19">
        <v>0</v>
      </c>
      <c r="T204" s="18">
        <f t="shared" ref="T204:T214" si="165">SUM(U204:X204)</f>
        <v>0</v>
      </c>
      <c r="U204" s="19">
        <v>0</v>
      </c>
      <c r="V204" s="19">
        <v>0</v>
      </c>
      <c r="W204" s="19">
        <v>0</v>
      </c>
      <c r="X204" s="19">
        <v>0</v>
      </c>
      <c r="Y204" s="18">
        <f>SUM(Z204:AC204)</f>
        <v>0</v>
      </c>
      <c r="Z204" s="19">
        <v>0</v>
      </c>
      <c r="AA204" s="19">
        <v>0</v>
      </c>
      <c r="AB204" s="19">
        <v>0</v>
      </c>
      <c r="AC204" s="19">
        <v>0</v>
      </c>
      <c r="AD204" s="18">
        <f>SUM(AE204:AH204)</f>
        <v>0</v>
      </c>
      <c r="AE204" s="19">
        <v>0</v>
      </c>
      <c r="AF204" s="19">
        <v>0</v>
      </c>
      <c r="AG204" s="19">
        <v>0</v>
      </c>
      <c r="AH204" s="19">
        <v>0</v>
      </c>
      <c r="AI204" s="18">
        <f>SUM(AJ204:AM204)</f>
        <v>0</v>
      </c>
      <c r="AJ204" s="19">
        <v>0</v>
      </c>
      <c r="AK204" s="19">
        <v>0</v>
      </c>
      <c r="AL204" s="19">
        <v>0</v>
      </c>
      <c r="AM204" s="19">
        <v>0</v>
      </c>
    </row>
    <row r="205" spans="1:39" s="2" customFormat="1" ht="252" outlineLevel="2" x14ac:dyDescent="0.25">
      <c r="A205" s="8" t="s">
        <v>434</v>
      </c>
      <c r="B205" s="32" t="s">
        <v>694</v>
      </c>
      <c r="C205" s="26" t="s">
        <v>32</v>
      </c>
      <c r="D205" s="26" t="s">
        <v>32</v>
      </c>
      <c r="E205" s="20">
        <f>SUM(F205:I205)</f>
        <v>3686.8</v>
      </c>
      <c r="F205" s="38">
        <f>K205+P205+U205</f>
        <v>0</v>
      </c>
      <c r="G205" s="38">
        <f t="shared" si="164"/>
        <v>0</v>
      </c>
      <c r="H205" s="38">
        <f t="shared" si="164"/>
        <v>3686.8</v>
      </c>
      <c r="I205" s="38">
        <f t="shared" si="164"/>
        <v>0</v>
      </c>
      <c r="J205" s="18">
        <f>SUM(K205:N205)</f>
        <v>0</v>
      </c>
      <c r="K205" s="19">
        <v>0</v>
      </c>
      <c r="L205" s="19">
        <v>0</v>
      </c>
      <c r="M205" s="19">
        <v>0</v>
      </c>
      <c r="N205" s="19">
        <v>0</v>
      </c>
      <c r="O205" s="18">
        <f>SUM(P205:S205)</f>
        <v>3686.8</v>
      </c>
      <c r="P205" s="19">
        <v>0</v>
      </c>
      <c r="Q205" s="19">
        <v>0</v>
      </c>
      <c r="R205" s="19">
        <v>3686.8</v>
      </c>
      <c r="S205" s="19">
        <v>0</v>
      </c>
      <c r="T205" s="18">
        <f t="shared" si="165"/>
        <v>0</v>
      </c>
      <c r="U205" s="19">
        <v>0</v>
      </c>
      <c r="V205" s="19">
        <v>0</v>
      </c>
      <c r="W205" s="19">
        <v>0</v>
      </c>
      <c r="X205" s="19">
        <v>0</v>
      </c>
      <c r="Y205" s="18">
        <f>SUM(Z205:AC205)</f>
        <v>0</v>
      </c>
      <c r="Z205" s="19">
        <v>0</v>
      </c>
      <c r="AA205" s="19">
        <v>0</v>
      </c>
      <c r="AB205" s="19">
        <v>0</v>
      </c>
      <c r="AC205" s="19">
        <v>0</v>
      </c>
      <c r="AD205" s="18">
        <f>SUM(AE205:AH205)</f>
        <v>0</v>
      </c>
      <c r="AE205" s="19">
        <v>0</v>
      </c>
      <c r="AF205" s="19">
        <v>0</v>
      </c>
      <c r="AG205" s="19">
        <v>0</v>
      </c>
      <c r="AH205" s="19">
        <v>0</v>
      </c>
      <c r="AI205" s="18">
        <f>SUM(AJ205:AM205)</f>
        <v>0</v>
      </c>
      <c r="AJ205" s="19">
        <v>0</v>
      </c>
      <c r="AK205" s="19">
        <v>0</v>
      </c>
      <c r="AL205" s="19">
        <v>0</v>
      </c>
      <c r="AM205" s="19">
        <v>0</v>
      </c>
    </row>
    <row r="206" spans="1:39" s="2" customFormat="1" ht="217.5" customHeight="1" outlineLevel="2" x14ac:dyDescent="0.25">
      <c r="A206" s="8" t="s">
        <v>447</v>
      </c>
      <c r="B206" s="32" t="s">
        <v>693</v>
      </c>
      <c r="C206" s="26" t="s">
        <v>32</v>
      </c>
      <c r="D206" s="26" t="s">
        <v>32</v>
      </c>
      <c r="E206" s="20">
        <f>SUM(F206:I206)</f>
        <v>537.79999999999995</v>
      </c>
      <c r="F206" s="38">
        <f>K206+P206+U206</f>
        <v>0</v>
      </c>
      <c r="G206" s="38">
        <f t="shared" si="164"/>
        <v>0</v>
      </c>
      <c r="H206" s="38">
        <f t="shared" si="164"/>
        <v>537.79999999999995</v>
      </c>
      <c r="I206" s="38">
        <f t="shared" si="164"/>
        <v>0</v>
      </c>
      <c r="J206" s="18">
        <f t="shared" ref="J206:J213" si="166">SUM(K206:N206)</f>
        <v>0</v>
      </c>
      <c r="K206" s="19">
        <v>0</v>
      </c>
      <c r="L206" s="19">
        <v>0</v>
      </c>
      <c r="M206" s="19">
        <v>0</v>
      </c>
      <c r="N206" s="19">
        <v>0</v>
      </c>
      <c r="O206" s="18">
        <f t="shared" ref="O206:O214" si="167">SUM(P206:S206)</f>
        <v>537.79999999999995</v>
      </c>
      <c r="P206" s="19">
        <v>0</v>
      </c>
      <c r="Q206" s="19">
        <v>0</v>
      </c>
      <c r="R206" s="19">
        <v>537.79999999999995</v>
      </c>
      <c r="S206" s="19">
        <v>0</v>
      </c>
      <c r="T206" s="18">
        <f t="shared" si="165"/>
        <v>0</v>
      </c>
      <c r="U206" s="19">
        <v>0</v>
      </c>
      <c r="V206" s="19">
        <v>0</v>
      </c>
      <c r="W206" s="19">
        <v>0</v>
      </c>
      <c r="X206" s="19">
        <v>0</v>
      </c>
      <c r="Y206" s="18">
        <f>SUM(Z206:AC206)</f>
        <v>0</v>
      </c>
      <c r="Z206" s="19">
        <v>0</v>
      </c>
      <c r="AA206" s="19">
        <v>0</v>
      </c>
      <c r="AB206" s="19">
        <v>0</v>
      </c>
      <c r="AC206" s="19">
        <v>0</v>
      </c>
      <c r="AD206" s="18">
        <f>SUM(AE206:AH206)</f>
        <v>0</v>
      </c>
      <c r="AE206" s="19">
        <v>0</v>
      </c>
      <c r="AF206" s="19">
        <v>0</v>
      </c>
      <c r="AG206" s="19">
        <v>0</v>
      </c>
      <c r="AH206" s="19">
        <v>0</v>
      </c>
      <c r="AI206" s="18">
        <f>SUM(AJ206:AM206)</f>
        <v>0</v>
      </c>
      <c r="AJ206" s="19">
        <v>0</v>
      </c>
      <c r="AK206" s="19">
        <v>0</v>
      </c>
      <c r="AL206" s="19">
        <v>0</v>
      </c>
      <c r="AM206" s="19">
        <v>0</v>
      </c>
    </row>
    <row r="207" spans="1:39" s="2" customFormat="1" ht="217.5" customHeight="1" outlineLevel="2" x14ac:dyDescent="0.25">
      <c r="A207" s="8" t="s">
        <v>887</v>
      </c>
      <c r="B207" s="32" t="s">
        <v>889</v>
      </c>
      <c r="C207" s="26" t="s">
        <v>32</v>
      </c>
      <c r="D207" s="26" t="s">
        <v>32</v>
      </c>
      <c r="E207" s="20">
        <f>SUM(F207:I207)</f>
        <v>1793.7</v>
      </c>
      <c r="F207" s="38">
        <f>K207+P207+U207</f>
        <v>0</v>
      </c>
      <c r="G207" s="38">
        <f t="shared" si="164"/>
        <v>0</v>
      </c>
      <c r="H207" s="38">
        <f t="shared" si="164"/>
        <v>1793.7</v>
      </c>
      <c r="I207" s="38">
        <f t="shared" si="164"/>
        <v>0</v>
      </c>
      <c r="J207" s="18">
        <f>SUM(K207:N207)</f>
        <v>0</v>
      </c>
      <c r="K207" s="19">
        <v>0</v>
      </c>
      <c r="L207" s="19">
        <v>0</v>
      </c>
      <c r="M207" s="19">
        <v>0</v>
      </c>
      <c r="N207" s="19">
        <v>0</v>
      </c>
      <c r="O207" s="18">
        <f>SUM(P207:S207)</f>
        <v>0</v>
      </c>
      <c r="P207" s="19">
        <v>0</v>
      </c>
      <c r="Q207" s="19">
        <v>0</v>
      </c>
      <c r="R207" s="19">
        <v>0</v>
      </c>
      <c r="S207" s="19">
        <v>0</v>
      </c>
      <c r="T207" s="18">
        <f>SUM(U207:X207)</f>
        <v>1793.7</v>
      </c>
      <c r="U207" s="19">
        <v>0</v>
      </c>
      <c r="V207" s="19">
        <v>0</v>
      </c>
      <c r="W207" s="19">
        <v>1793.7</v>
      </c>
      <c r="X207" s="19">
        <v>0</v>
      </c>
      <c r="Y207" s="18">
        <f>SUM(Z207:AC207)</f>
        <v>0</v>
      </c>
      <c r="Z207" s="19">
        <v>0</v>
      </c>
      <c r="AA207" s="19">
        <v>0</v>
      </c>
      <c r="AB207" s="19">
        <v>0</v>
      </c>
      <c r="AC207" s="19">
        <v>0</v>
      </c>
      <c r="AD207" s="18">
        <f>SUM(AE207:AH207)</f>
        <v>0</v>
      </c>
      <c r="AE207" s="19">
        <v>0</v>
      </c>
      <c r="AF207" s="19">
        <v>0</v>
      </c>
      <c r="AG207" s="19">
        <v>0</v>
      </c>
      <c r="AH207" s="19">
        <v>0</v>
      </c>
      <c r="AI207" s="18">
        <f>SUM(AJ207:AM207)</f>
        <v>0</v>
      </c>
      <c r="AJ207" s="19">
        <v>0</v>
      </c>
      <c r="AK207" s="19">
        <v>0</v>
      </c>
      <c r="AL207" s="19">
        <v>0</v>
      </c>
      <c r="AM207" s="19">
        <v>0</v>
      </c>
    </row>
    <row r="208" spans="1:39" s="2" customFormat="1" ht="193.5" customHeight="1" outlineLevel="2" x14ac:dyDescent="0.25">
      <c r="A208" s="8" t="s">
        <v>888</v>
      </c>
      <c r="B208" s="32" t="s">
        <v>890</v>
      </c>
      <c r="C208" s="26" t="s">
        <v>32</v>
      </c>
      <c r="D208" s="26" t="s">
        <v>32</v>
      </c>
      <c r="E208" s="20">
        <f>SUM(F208:I208)</f>
        <v>429.8</v>
      </c>
      <c r="F208" s="38">
        <f>K208+P208+U208</f>
        <v>0</v>
      </c>
      <c r="G208" s="38">
        <f t="shared" si="164"/>
        <v>0</v>
      </c>
      <c r="H208" s="38">
        <f t="shared" si="164"/>
        <v>429.8</v>
      </c>
      <c r="I208" s="38">
        <f t="shared" si="164"/>
        <v>0</v>
      </c>
      <c r="J208" s="18">
        <f>SUM(K208:N208)</f>
        <v>0</v>
      </c>
      <c r="K208" s="19">
        <v>0</v>
      </c>
      <c r="L208" s="19">
        <v>0</v>
      </c>
      <c r="M208" s="19">
        <v>0</v>
      </c>
      <c r="N208" s="19">
        <v>0</v>
      </c>
      <c r="O208" s="18">
        <f>SUM(P208:S208)</f>
        <v>0</v>
      </c>
      <c r="P208" s="19">
        <v>0</v>
      </c>
      <c r="Q208" s="19">
        <v>0</v>
      </c>
      <c r="R208" s="19">
        <v>0</v>
      </c>
      <c r="S208" s="19">
        <v>0</v>
      </c>
      <c r="T208" s="18">
        <f>SUM(U208:X208)</f>
        <v>429.8</v>
      </c>
      <c r="U208" s="19">
        <v>0</v>
      </c>
      <c r="V208" s="19">
        <v>0</v>
      </c>
      <c r="W208" s="19">
        <v>429.8</v>
      </c>
      <c r="X208" s="19">
        <v>0</v>
      </c>
      <c r="Y208" s="18">
        <f>SUM(Z208:AC208)</f>
        <v>0</v>
      </c>
      <c r="Z208" s="19">
        <v>0</v>
      </c>
      <c r="AA208" s="19">
        <v>0</v>
      </c>
      <c r="AB208" s="19">
        <v>0</v>
      </c>
      <c r="AC208" s="19">
        <v>0</v>
      </c>
      <c r="AD208" s="18">
        <f>SUM(AE208:AH208)</f>
        <v>0</v>
      </c>
      <c r="AE208" s="19">
        <v>0</v>
      </c>
      <c r="AF208" s="19">
        <v>0</v>
      </c>
      <c r="AG208" s="19">
        <v>0</v>
      </c>
      <c r="AH208" s="19">
        <v>0</v>
      </c>
      <c r="AI208" s="18">
        <f>SUM(AJ208:AM208)</f>
        <v>0</v>
      </c>
      <c r="AJ208" s="19">
        <v>0</v>
      </c>
      <c r="AK208" s="19">
        <v>0</v>
      </c>
      <c r="AL208" s="19">
        <v>0</v>
      </c>
      <c r="AM208" s="19">
        <v>0</v>
      </c>
    </row>
    <row r="209" spans="1:39" s="5" customFormat="1" ht="36" customHeight="1" outlineLevel="1" x14ac:dyDescent="0.25">
      <c r="A209" s="138" t="s">
        <v>180</v>
      </c>
      <c r="B209" s="173" t="s">
        <v>38</v>
      </c>
      <c r="C209" s="174"/>
      <c r="D209" s="174"/>
      <c r="E209" s="18">
        <f>SUM(E210:E229)</f>
        <v>172188.20000000004</v>
      </c>
      <c r="F209" s="18">
        <f t="shared" ref="F209:AM209" si="168">SUM(F210:F229)</f>
        <v>0</v>
      </c>
      <c r="G209" s="18">
        <f t="shared" si="168"/>
        <v>13201.7</v>
      </c>
      <c r="H209" s="18">
        <f t="shared" si="168"/>
        <v>157967.40000000005</v>
      </c>
      <c r="I209" s="18">
        <f t="shared" si="168"/>
        <v>1019.1</v>
      </c>
      <c r="J209" s="18">
        <f t="shared" si="168"/>
        <v>36863.900000000009</v>
      </c>
      <c r="K209" s="18">
        <f t="shared" si="168"/>
        <v>0</v>
      </c>
      <c r="L209" s="18">
        <f t="shared" si="168"/>
        <v>0</v>
      </c>
      <c r="M209" s="18">
        <f t="shared" si="168"/>
        <v>36832.700000000004</v>
      </c>
      <c r="N209" s="18">
        <f t="shared" si="168"/>
        <v>31.2</v>
      </c>
      <c r="O209" s="18">
        <f t="shared" si="168"/>
        <v>87.7</v>
      </c>
      <c r="P209" s="18">
        <f t="shared" si="168"/>
        <v>0</v>
      </c>
      <c r="Q209" s="18">
        <f t="shared" si="168"/>
        <v>0</v>
      </c>
      <c r="R209" s="18">
        <f t="shared" si="168"/>
        <v>87.7</v>
      </c>
      <c r="S209" s="18">
        <f t="shared" si="168"/>
        <v>0</v>
      </c>
      <c r="T209" s="18">
        <f t="shared" si="168"/>
        <v>91943.4</v>
      </c>
      <c r="U209" s="18">
        <f t="shared" si="168"/>
        <v>0</v>
      </c>
      <c r="V209" s="18">
        <f t="shared" si="168"/>
        <v>13201.7</v>
      </c>
      <c r="W209" s="18">
        <f t="shared" si="168"/>
        <v>78186.8</v>
      </c>
      <c r="X209" s="18">
        <f t="shared" si="168"/>
        <v>554.9</v>
      </c>
      <c r="Y209" s="18">
        <f t="shared" si="168"/>
        <v>0</v>
      </c>
      <c r="Z209" s="18">
        <f t="shared" si="168"/>
        <v>0</v>
      </c>
      <c r="AA209" s="18">
        <f t="shared" si="168"/>
        <v>0</v>
      </c>
      <c r="AB209" s="18">
        <f t="shared" si="168"/>
        <v>0</v>
      </c>
      <c r="AC209" s="18">
        <f t="shared" si="168"/>
        <v>0</v>
      </c>
      <c r="AD209" s="18">
        <f t="shared" si="168"/>
        <v>43293.2</v>
      </c>
      <c r="AE209" s="18">
        <f t="shared" si="168"/>
        <v>0</v>
      </c>
      <c r="AF209" s="18">
        <f t="shared" si="168"/>
        <v>0</v>
      </c>
      <c r="AG209" s="18">
        <f t="shared" si="168"/>
        <v>42860.2</v>
      </c>
      <c r="AH209" s="18">
        <f t="shared" si="168"/>
        <v>433</v>
      </c>
      <c r="AI209" s="18">
        <f t="shared" si="168"/>
        <v>0</v>
      </c>
      <c r="AJ209" s="18">
        <f t="shared" si="168"/>
        <v>0</v>
      </c>
      <c r="AK209" s="18">
        <f t="shared" si="168"/>
        <v>0</v>
      </c>
      <c r="AL209" s="18">
        <f t="shared" si="168"/>
        <v>0</v>
      </c>
      <c r="AM209" s="18">
        <f t="shared" si="168"/>
        <v>0</v>
      </c>
    </row>
    <row r="210" spans="1:39" s="2" customFormat="1" ht="78.75" outlineLevel="2" x14ac:dyDescent="0.25">
      <c r="A210" s="8" t="s">
        <v>448</v>
      </c>
      <c r="B210" s="25" t="s">
        <v>72</v>
      </c>
      <c r="C210" s="26" t="s">
        <v>377</v>
      </c>
      <c r="D210" s="26" t="s">
        <v>8</v>
      </c>
      <c r="E210" s="20">
        <f t="shared" ref="E210:E215" si="169">SUM(F210:I210)</f>
        <v>55421.700000000004</v>
      </c>
      <c r="F210" s="38">
        <f t="shared" ref="F210:F215" si="170">K210+P210+U210</f>
        <v>0</v>
      </c>
      <c r="G210" s="38">
        <f t="shared" ref="G210:I216" si="171">L210+Q210+V210+AA210+AF210+AK210</f>
        <v>0</v>
      </c>
      <c r="H210" s="38">
        <f t="shared" si="171"/>
        <v>55421.700000000004</v>
      </c>
      <c r="I210" s="38">
        <f t="shared" si="171"/>
        <v>0</v>
      </c>
      <c r="J210" s="18">
        <f t="shared" si="166"/>
        <v>33748.800000000003</v>
      </c>
      <c r="K210" s="19">
        <v>0</v>
      </c>
      <c r="L210" s="38">
        <v>0</v>
      </c>
      <c r="M210" s="19">
        <f>20338.3+13100.7+309.8</f>
        <v>33748.800000000003</v>
      </c>
      <c r="N210" s="38">
        <v>0</v>
      </c>
      <c r="O210" s="18">
        <f t="shared" si="167"/>
        <v>0</v>
      </c>
      <c r="P210" s="19">
        <v>0</v>
      </c>
      <c r="Q210" s="38">
        <v>0</v>
      </c>
      <c r="R210" s="38">
        <f>21672.9-21672.9</f>
        <v>0</v>
      </c>
      <c r="S210" s="38">
        <v>0</v>
      </c>
      <c r="T210" s="18">
        <f t="shared" si="165"/>
        <v>21672.9</v>
      </c>
      <c r="U210" s="19">
        <v>0</v>
      </c>
      <c r="V210" s="38">
        <v>0</v>
      </c>
      <c r="W210" s="38">
        <v>21672.9</v>
      </c>
      <c r="X210" s="38">
        <v>0</v>
      </c>
      <c r="Y210" s="18">
        <f>SUM(Z210:AC210)</f>
        <v>0</v>
      </c>
      <c r="Z210" s="19">
        <v>0</v>
      </c>
      <c r="AA210" s="38">
        <v>0</v>
      </c>
      <c r="AB210" s="38">
        <v>0</v>
      </c>
      <c r="AC210" s="38">
        <v>0</v>
      </c>
      <c r="AD210" s="38">
        <f t="shared" ref="AD210:AD217" si="172">SUM(AF210:AH210)</f>
        <v>0</v>
      </c>
      <c r="AE210" s="19">
        <v>0</v>
      </c>
      <c r="AF210" s="38">
        <v>0</v>
      </c>
      <c r="AG210" s="38">
        <v>0</v>
      </c>
      <c r="AH210" s="38">
        <v>0</v>
      </c>
      <c r="AI210" s="38">
        <f t="shared" ref="AI210:AI217" si="173">SUM(AK210:AM210)</f>
        <v>0</v>
      </c>
      <c r="AJ210" s="19">
        <v>0</v>
      </c>
      <c r="AK210" s="38">
        <v>0</v>
      </c>
      <c r="AL210" s="38">
        <v>0</v>
      </c>
      <c r="AM210" s="38">
        <v>0</v>
      </c>
    </row>
    <row r="211" spans="1:39" s="2" customFormat="1" ht="78.75" outlineLevel="2" x14ac:dyDescent="0.25">
      <c r="A211" s="8" t="s">
        <v>182</v>
      </c>
      <c r="B211" s="25" t="s">
        <v>298</v>
      </c>
      <c r="C211" s="26" t="s">
        <v>377</v>
      </c>
      <c r="D211" s="31" t="s">
        <v>41</v>
      </c>
      <c r="E211" s="20">
        <f t="shared" si="169"/>
        <v>1439.7999999999997</v>
      </c>
      <c r="F211" s="38">
        <f t="shared" si="170"/>
        <v>0</v>
      </c>
      <c r="G211" s="38">
        <f t="shared" si="171"/>
        <v>0</v>
      </c>
      <c r="H211" s="38">
        <f t="shared" si="171"/>
        <v>1425.3999999999996</v>
      </c>
      <c r="I211" s="38">
        <f t="shared" si="171"/>
        <v>14.400000000000002</v>
      </c>
      <c r="J211" s="18">
        <f t="shared" si="166"/>
        <v>1439.7999999999997</v>
      </c>
      <c r="K211" s="19">
        <v>0</v>
      </c>
      <c r="L211" s="38">
        <v>0</v>
      </c>
      <c r="M211" s="19">
        <f>4224.7-2799.3</f>
        <v>1425.3999999999996</v>
      </c>
      <c r="N211" s="38">
        <f>42.7-28.3</f>
        <v>14.400000000000002</v>
      </c>
      <c r="O211" s="18">
        <f t="shared" si="167"/>
        <v>0</v>
      </c>
      <c r="P211" s="19">
        <v>0</v>
      </c>
      <c r="Q211" s="38">
        <v>0</v>
      </c>
      <c r="R211" s="38">
        <v>0</v>
      </c>
      <c r="S211" s="38">
        <v>0</v>
      </c>
      <c r="T211" s="18">
        <f t="shared" si="165"/>
        <v>0</v>
      </c>
      <c r="U211" s="19">
        <v>0</v>
      </c>
      <c r="V211" s="38">
        <v>0</v>
      </c>
      <c r="W211" s="38">
        <v>0</v>
      </c>
      <c r="X211" s="38">
        <v>0</v>
      </c>
      <c r="Y211" s="18">
        <f>SUM(Z211:AC211)</f>
        <v>0</v>
      </c>
      <c r="Z211" s="19">
        <v>0</v>
      </c>
      <c r="AA211" s="38">
        <v>0</v>
      </c>
      <c r="AB211" s="38">
        <v>0</v>
      </c>
      <c r="AC211" s="38">
        <v>0</v>
      </c>
      <c r="AD211" s="38">
        <f t="shared" si="172"/>
        <v>0</v>
      </c>
      <c r="AE211" s="19">
        <v>0</v>
      </c>
      <c r="AF211" s="38">
        <v>0</v>
      </c>
      <c r="AG211" s="38">
        <v>0</v>
      </c>
      <c r="AH211" s="38">
        <v>0</v>
      </c>
      <c r="AI211" s="38">
        <f t="shared" si="173"/>
        <v>0</v>
      </c>
      <c r="AJ211" s="19">
        <v>0</v>
      </c>
      <c r="AK211" s="38">
        <v>0</v>
      </c>
      <c r="AL211" s="38">
        <v>0</v>
      </c>
      <c r="AM211" s="38">
        <v>0</v>
      </c>
    </row>
    <row r="212" spans="1:39" s="2" customFormat="1" ht="63" outlineLevel="2" x14ac:dyDescent="0.25">
      <c r="A212" s="8" t="s">
        <v>183</v>
      </c>
      <c r="B212" s="25" t="s">
        <v>379</v>
      </c>
      <c r="C212" s="26" t="s">
        <v>32</v>
      </c>
      <c r="D212" s="31" t="s">
        <v>41</v>
      </c>
      <c r="E212" s="20">
        <f t="shared" si="169"/>
        <v>1675.2999999999997</v>
      </c>
      <c r="F212" s="38">
        <f t="shared" si="170"/>
        <v>0</v>
      </c>
      <c r="G212" s="38">
        <f t="shared" si="171"/>
        <v>0</v>
      </c>
      <c r="H212" s="38">
        <f t="shared" si="171"/>
        <v>1658.4999999999998</v>
      </c>
      <c r="I212" s="38">
        <f t="shared" si="171"/>
        <v>16.799999999999997</v>
      </c>
      <c r="J212" s="18">
        <f t="shared" si="166"/>
        <v>1675.2999999999997</v>
      </c>
      <c r="K212" s="19">
        <v>0</v>
      </c>
      <c r="L212" s="38">
        <v>0</v>
      </c>
      <c r="M212" s="19">
        <f>1953.6-486.4+191.3</f>
        <v>1658.4999999999998</v>
      </c>
      <c r="N212" s="38">
        <f>19.7-4.9+2</f>
        <v>16.799999999999997</v>
      </c>
      <c r="O212" s="18">
        <f t="shared" si="167"/>
        <v>0</v>
      </c>
      <c r="P212" s="19">
        <v>0</v>
      </c>
      <c r="Q212" s="38">
        <v>0</v>
      </c>
      <c r="R212" s="38">
        <v>0</v>
      </c>
      <c r="S212" s="38">
        <v>0</v>
      </c>
      <c r="T212" s="18">
        <f t="shared" si="165"/>
        <v>0</v>
      </c>
      <c r="U212" s="19">
        <v>0</v>
      </c>
      <c r="V212" s="38">
        <v>0</v>
      </c>
      <c r="W212" s="38">
        <v>0</v>
      </c>
      <c r="X212" s="38">
        <v>0</v>
      </c>
      <c r="Y212" s="18">
        <f>SUM(Z212:AC212)</f>
        <v>0</v>
      </c>
      <c r="Z212" s="19">
        <v>0</v>
      </c>
      <c r="AA212" s="38">
        <v>0</v>
      </c>
      <c r="AB212" s="38">
        <v>0</v>
      </c>
      <c r="AC212" s="38">
        <v>0</v>
      </c>
      <c r="AD212" s="38">
        <f t="shared" si="172"/>
        <v>0</v>
      </c>
      <c r="AE212" s="19">
        <v>0</v>
      </c>
      <c r="AF212" s="38">
        <v>0</v>
      </c>
      <c r="AG212" s="38">
        <v>0</v>
      </c>
      <c r="AH212" s="38">
        <v>0</v>
      </c>
      <c r="AI212" s="38">
        <f t="shared" si="173"/>
        <v>0</v>
      </c>
      <c r="AJ212" s="19">
        <v>0</v>
      </c>
      <c r="AK212" s="38">
        <v>0</v>
      </c>
      <c r="AL212" s="38">
        <v>0</v>
      </c>
      <c r="AM212" s="38">
        <v>0</v>
      </c>
    </row>
    <row r="213" spans="1:39" s="2" customFormat="1" ht="78.75" outlineLevel="2" x14ac:dyDescent="0.25">
      <c r="A213" s="8" t="s">
        <v>378</v>
      </c>
      <c r="B213" s="48" t="s">
        <v>891</v>
      </c>
      <c r="C213" s="26" t="s">
        <v>32</v>
      </c>
      <c r="D213" s="31" t="s">
        <v>41</v>
      </c>
      <c r="E213" s="20">
        <f t="shared" si="169"/>
        <v>7698.6</v>
      </c>
      <c r="F213" s="38">
        <f t="shared" si="170"/>
        <v>0</v>
      </c>
      <c r="G213" s="38">
        <f t="shared" si="171"/>
        <v>0</v>
      </c>
      <c r="H213" s="38">
        <f t="shared" si="171"/>
        <v>7621.6</v>
      </c>
      <c r="I213" s="38">
        <f t="shared" si="171"/>
        <v>77</v>
      </c>
      <c r="J213" s="18">
        <f t="shared" si="166"/>
        <v>0</v>
      </c>
      <c r="K213" s="19">
        <v>0</v>
      </c>
      <c r="L213" s="38">
        <v>0</v>
      </c>
      <c r="M213" s="19">
        <v>0</v>
      </c>
      <c r="N213" s="38">
        <v>0</v>
      </c>
      <c r="O213" s="18">
        <f t="shared" si="167"/>
        <v>0</v>
      </c>
      <c r="P213" s="19">
        <v>0</v>
      </c>
      <c r="Q213" s="38">
        <v>0</v>
      </c>
      <c r="R213" s="38">
        <v>0</v>
      </c>
      <c r="S213" s="38">
        <v>0</v>
      </c>
      <c r="T213" s="18">
        <f t="shared" si="165"/>
        <v>7698.6</v>
      </c>
      <c r="U213" s="19">
        <v>0</v>
      </c>
      <c r="V213" s="38">
        <v>0</v>
      </c>
      <c r="W213" s="38">
        <v>7621.6</v>
      </c>
      <c r="X213" s="38">
        <v>77</v>
      </c>
      <c r="Y213" s="38">
        <f>AB213+AC213</f>
        <v>0</v>
      </c>
      <c r="Z213" s="19">
        <v>0</v>
      </c>
      <c r="AA213" s="38">
        <v>0</v>
      </c>
      <c r="AB213" s="38">
        <v>0</v>
      </c>
      <c r="AC213" s="38">
        <v>0</v>
      </c>
      <c r="AD213" s="38">
        <f t="shared" si="172"/>
        <v>0</v>
      </c>
      <c r="AE213" s="19">
        <v>0</v>
      </c>
      <c r="AF213" s="38">
        <v>0</v>
      </c>
      <c r="AG213" s="38">
        <v>0</v>
      </c>
      <c r="AH213" s="38">
        <v>0</v>
      </c>
      <c r="AI213" s="38">
        <f t="shared" si="173"/>
        <v>0</v>
      </c>
      <c r="AJ213" s="19">
        <v>0</v>
      </c>
      <c r="AK213" s="38">
        <v>0</v>
      </c>
      <c r="AL213" s="38">
        <v>0</v>
      </c>
      <c r="AM213" s="38">
        <v>0</v>
      </c>
    </row>
    <row r="214" spans="1:39" s="2" customFormat="1" ht="78.75" outlineLevel="2" x14ac:dyDescent="0.25">
      <c r="A214" s="8" t="s">
        <v>414</v>
      </c>
      <c r="B214" s="48" t="s">
        <v>948</v>
      </c>
      <c r="C214" s="26" t="s">
        <v>32</v>
      </c>
      <c r="D214" s="31" t="s">
        <v>41</v>
      </c>
      <c r="E214" s="20">
        <f t="shared" si="169"/>
        <v>4800.2</v>
      </c>
      <c r="F214" s="38">
        <f t="shared" si="170"/>
        <v>0</v>
      </c>
      <c r="G214" s="38">
        <f t="shared" si="171"/>
        <v>0</v>
      </c>
      <c r="H214" s="38">
        <f t="shared" si="171"/>
        <v>4752.2</v>
      </c>
      <c r="I214" s="38">
        <f t="shared" si="171"/>
        <v>48</v>
      </c>
      <c r="J214" s="18">
        <f>SUM(K214:N214)</f>
        <v>0</v>
      </c>
      <c r="K214" s="19">
        <v>0</v>
      </c>
      <c r="L214" s="38">
        <v>0</v>
      </c>
      <c r="M214" s="19">
        <v>0</v>
      </c>
      <c r="N214" s="38">
        <v>0</v>
      </c>
      <c r="O214" s="18">
        <f t="shared" si="167"/>
        <v>0</v>
      </c>
      <c r="P214" s="19">
        <v>0</v>
      </c>
      <c r="Q214" s="38">
        <v>0</v>
      </c>
      <c r="R214" s="38">
        <v>0</v>
      </c>
      <c r="S214" s="38">
        <v>0</v>
      </c>
      <c r="T214" s="18">
        <f t="shared" si="165"/>
        <v>0</v>
      </c>
      <c r="U214" s="19">
        <v>0</v>
      </c>
      <c r="V214" s="38">
        <v>0</v>
      </c>
      <c r="W214" s="38">
        <v>0</v>
      </c>
      <c r="X214" s="38">
        <v>0</v>
      </c>
      <c r="Y214" s="38">
        <f>AB214+AC214</f>
        <v>0</v>
      </c>
      <c r="Z214" s="19">
        <v>0</v>
      </c>
      <c r="AA214" s="38">
        <v>0</v>
      </c>
      <c r="AB214" s="38">
        <v>0</v>
      </c>
      <c r="AC214" s="38">
        <v>0</v>
      </c>
      <c r="AD214" s="38">
        <f t="shared" si="172"/>
        <v>4800.2</v>
      </c>
      <c r="AE214" s="19">
        <v>0</v>
      </c>
      <c r="AF214" s="38">
        <v>0</v>
      </c>
      <c r="AG214" s="38">
        <v>4752.2</v>
      </c>
      <c r="AH214" s="38">
        <v>48</v>
      </c>
      <c r="AI214" s="38">
        <f t="shared" si="173"/>
        <v>0</v>
      </c>
      <c r="AJ214" s="19">
        <v>0</v>
      </c>
      <c r="AK214" s="38">
        <v>0</v>
      </c>
      <c r="AL214" s="38">
        <v>0</v>
      </c>
      <c r="AM214" s="38">
        <v>0</v>
      </c>
    </row>
    <row r="215" spans="1:39" s="2" customFormat="1" ht="63" outlineLevel="2" x14ac:dyDescent="0.25">
      <c r="A215" s="8" t="s">
        <v>415</v>
      </c>
      <c r="B215" s="48" t="s">
        <v>806</v>
      </c>
      <c r="C215" s="26" t="s">
        <v>32</v>
      </c>
      <c r="D215" s="31" t="s">
        <v>118</v>
      </c>
      <c r="E215" s="20">
        <f t="shared" si="169"/>
        <v>87.7</v>
      </c>
      <c r="F215" s="38">
        <f t="shared" si="170"/>
        <v>0</v>
      </c>
      <c r="G215" s="38">
        <f t="shared" si="171"/>
        <v>0</v>
      </c>
      <c r="H215" s="38">
        <f t="shared" si="171"/>
        <v>87.7</v>
      </c>
      <c r="I215" s="38">
        <f t="shared" si="171"/>
        <v>0</v>
      </c>
      <c r="J215" s="18">
        <f>SUM(K215:N215)</f>
        <v>0</v>
      </c>
      <c r="K215" s="19">
        <v>0</v>
      </c>
      <c r="L215" s="38">
        <v>0</v>
      </c>
      <c r="M215" s="19">
        <v>0</v>
      </c>
      <c r="N215" s="38">
        <v>0</v>
      </c>
      <c r="O215" s="18">
        <f>SUM(P215:S215)</f>
        <v>87.7</v>
      </c>
      <c r="P215" s="19">
        <v>0</v>
      </c>
      <c r="Q215" s="38">
        <v>0</v>
      </c>
      <c r="R215" s="38">
        <v>87.7</v>
      </c>
      <c r="S215" s="38">
        <v>0</v>
      </c>
      <c r="T215" s="18">
        <f>SUM(U215:X215)</f>
        <v>0</v>
      </c>
      <c r="U215" s="19">
        <v>0</v>
      </c>
      <c r="V215" s="38">
        <v>0</v>
      </c>
      <c r="W215" s="38">
        <v>0</v>
      </c>
      <c r="X215" s="38">
        <v>0</v>
      </c>
      <c r="Y215" s="38">
        <f>AB215+AC215</f>
        <v>0</v>
      </c>
      <c r="Z215" s="19">
        <v>0</v>
      </c>
      <c r="AA215" s="38">
        <v>0</v>
      </c>
      <c r="AB215" s="38">
        <v>0</v>
      </c>
      <c r="AC215" s="38">
        <v>0</v>
      </c>
      <c r="AD215" s="38">
        <f t="shared" si="172"/>
        <v>0</v>
      </c>
      <c r="AE215" s="19">
        <v>0</v>
      </c>
      <c r="AF215" s="38">
        <v>0</v>
      </c>
      <c r="AG215" s="38">
        <v>0</v>
      </c>
      <c r="AH215" s="38">
        <v>0</v>
      </c>
      <c r="AI215" s="38">
        <f t="shared" si="173"/>
        <v>0</v>
      </c>
      <c r="AJ215" s="19">
        <v>0</v>
      </c>
      <c r="AK215" s="38">
        <v>0</v>
      </c>
      <c r="AL215" s="38">
        <v>0</v>
      </c>
      <c r="AM215" s="38">
        <v>0</v>
      </c>
    </row>
    <row r="216" spans="1:39" s="2" customFormat="1" ht="114.75" customHeight="1" outlineLevel="2" x14ac:dyDescent="0.25">
      <c r="A216" s="8" t="s">
        <v>778</v>
      </c>
      <c r="B216" s="120" t="s">
        <v>848</v>
      </c>
      <c r="C216" s="26" t="s">
        <v>32</v>
      </c>
      <c r="D216" s="31" t="s">
        <v>118</v>
      </c>
      <c r="E216" s="20">
        <f t="shared" ref="E216:E225" si="174">SUM(F216:I216)</f>
        <v>1501.6</v>
      </c>
      <c r="F216" s="38"/>
      <c r="G216" s="38">
        <f t="shared" si="171"/>
        <v>0</v>
      </c>
      <c r="H216" s="38">
        <f t="shared" si="171"/>
        <v>1501.6</v>
      </c>
      <c r="I216" s="38">
        <f t="shared" si="171"/>
        <v>0</v>
      </c>
      <c r="J216" s="18">
        <f>SUM(K216:N216)</f>
        <v>0</v>
      </c>
      <c r="K216" s="19"/>
      <c r="L216" s="38">
        <v>0</v>
      </c>
      <c r="M216" s="19">
        <v>0</v>
      </c>
      <c r="N216" s="38">
        <v>0</v>
      </c>
      <c r="O216" s="18">
        <f>SUM(P216:S216)</f>
        <v>0</v>
      </c>
      <c r="P216" s="19"/>
      <c r="Q216" s="38">
        <v>0</v>
      </c>
      <c r="R216" s="38">
        <v>0</v>
      </c>
      <c r="S216" s="38">
        <v>0</v>
      </c>
      <c r="T216" s="18">
        <f>W216</f>
        <v>1501.6</v>
      </c>
      <c r="U216" s="19"/>
      <c r="V216" s="38">
        <v>0</v>
      </c>
      <c r="W216" s="38">
        <v>1501.6</v>
      </c>
      <c r="X216" s="38">
        <v>0</v>
      </c>
      <c r="Y216" s="18">
        <f t="shared" ref="Y216:Y221" si="175">SUM(Z216:AC216)</f>
        <v>0</v>
      </c>
      <c r="Z216" s="19"/>
      <c r="AA216" s="38">
        <v>0</v>
      </c>
      <c r="AB216" s="38">
        <v>0</v>
      </c>
      <c r="AC216" s="38">
        <v>0</v>
      </c>
      <c r="AD216" s="38">
        <f t="shared" si="172"/>
        <v>0</v>
      </c>
      <c r="AE216" s="19"/>
      <c r="AF216" s="38">
        <v>0</v>
      </c>
      <c r="AG216" s="38">
        <v>0</v>
      </c>
      <c r="AH216" s="38">
        <v>0</v>
      </c>
      <c r="AI216" s="38">
        <f t="shared" si="173"/>
        <v>0</v>
      </c>
      <c r="AJ216" s="19"/>
      <c r="AK216" s="38">
        <v>0</v>
      </c>
      <c r="AL216" s="38">
        <v>0</v>
      </c>
      <c r="AM216" s="38">
        <v>0</v>
      </c>
    </row>
    <row r="217" spans="1:39" s="2" customFormat="1" ht="69" customHeight="1" outlineLevel="2" x14ac:dyDescent="0.25">
      <c r="A217" s="8" t="s">
        <v>791</v>
      </c>
      <c r="B217" s="48" t="s">
        <v>416</v>
      </c>
      <c r="C217" s="26" t="s">
        <v>32</v>
      </c>
      <c r="D217" s="31" t="s">
        <v>41</v>
      </c>
      <c r="E217" s="20">
        <f t="shared" si="174"/>
        <v>17576.8</v>
      </c>
      <c r="F217" s="38">
        <f t="shared" ref="F217:F225" si="176">K217+P217+U217</f>
        <v>0</v>
      </c>
      <c r="G217" s="38">
        <f t="shared" ref="G217:G225" si="177">L217+Q217+V217+AA217+AF217+AK217</f>
        <v>0</v>
      </c>
      <c r="H217" s="38">
        <f t="shared" ref="H217:H225" si="178">M217+R217+W217+AB217+AG217+AL217</f>
        <v>17401</v>
      </c>
      <c r="I217" s="38">
        <f t="shared" ref="I217:I225" si="179">N217+S217+X217+AC217+AH217+AM217</f>
        <v>175.8</v>
      </c>
      <c r="J217" s="18">
        <f t="shared" ref="J217:J225" si="180">SUM(K217:N217)</f>
        <v>0</v>
      </c>
      <c r="K217" s="19">
        <v>0</v>
      </c>
      <c r="L217" s="38">
        <v>0</v>
      </c>
      <c r="M217" s="19">
        <v>0</v>
      </c>
      <c r="N217" s="38">
        <v>0</v>
      </c>
      <c r="O217" s="18">
        <f>SUM(P217:S217)</f>
        <v>0</v>
      </c>
      <c r="P217" s="19">
        <v>0</v>
      </c>
      <c r="Q217" s="38">
        <v>0</v>
      </c>
      <c r="R217" s="38">
        <f>12078-12078</f>
        <v>0</v>
      </c>
      <c r="S217" s="38">
        <f>122-122</f>
        <v>0</v>
      </c>
      <c r="T217" s="18">
        <f>SUM(U217:X217)</f>
        <v>17576.8</v>
      </c>
      <c r="U217" s="19">
        <v>0</v>
      </c>
      <c r="V217" s="38">
        <v>0</v>
      </c>
      <c r="W217" s="38">
        <f>12078+5323</f>
        <v>17401</v>
      </c>
      <c r="X217" s="38">
        <f>53.8+122</f>
        <v>175.8</v>
      </c>
      <c r="Y217" s="18">
        <f t="shared" si="175"/>
        <v>0</v>
      </c>
      <c r="Z217" s="19">
        <v>0</v>
      </c>
      <c r="AA217" s="38">
        <v>0</v>
      </c>
      <c r="AB217" s="38">
        <v>0</v>
      </c>
      <c r="AC217" s="38">
        <v>0</v>
      </c>
      <c r="AD217" s="38">
        <f t="shared" si="172"/>
        <v>0</v>
      </c>
      <c r="AE217" s="19">
        <v>0</v>
      </c>
      <c r="AF217" s="38">
        <v>0</v>
      </c>
      <c r="AG217" s="38">
        <v>0</v>
      </c>
      <c r="AH217" s="38">
        <v>0</v>
      </c>
      <c r="AI217" s="38">
        <f t="shared" si="173"/>
        <v>0</v>
      </c>
      <c r="AJ217" s="19">
        <v>0</v>
      </c>
      <c r="AK217" s="38">
        <v>0</v>
      </c>
      <c r="AL217" s="38">
        <v>0</v>
      </c>
      <c r="AM217" s="38">
        <v>0</v>
      </c>
    </row>
    <row r="218" spans="1:39" s="2" customFormat="1" ht="78.75" outlineLevel="2" x14ac:dyDescent="0.25">
      <c r="A218" s="8" t="s">
        <v>849</v>
      </c>
      <c r="B218" s="114" t="s">
        <v>836</v>
      </c>
      <c r="C218" s="26" t="s">
        <v>32</v>
      </c>
      <c r="D218" s="31" t="s">
        <v>41</v>
      </c>
      <c r="E218" s="20">
        <f t="shared" si="174"/>
        <v>8469.2000000000007</v>
      </c>
      <c r="F218" s="38">
        <f t="shared" si="176"/>
        <v>0</v>
      </c>
      <c r="G218" s="38">
        <f t="shared" si="177"/>
        <v>0</v>
      </c>
      <c r="H218" s="38">
        <f t="shared" si="178"/>
        <v>8332.5</v>
      </c>
      <c r="I218" s="38">
        <f t="shared" si="179"/>
        <v>136.69999999999999</v>
      </c>
      <c r="J218" s="18">
        <f t="shared" si="180"/>
        <v>0</v>
      </c>
      <c r="K218" s="19">
        <v>0</v>
      </c>
      <c r="L218" s="38">
        <v>0</v>
      </c>
      <c r="M218" s="19">
        <v>0</v>
      </c>
      <c r="N218" s="38">
        <v>0</v>
      </c>
      <c r="O218" s="18">
        <f t="shared" ref="O218:O225" si="181">SUM(P218:S218)</f>
        <v>0</v>
      </c>
      <c r="P218" s="19">
        <v>0</v>
      </c>
      <c r="Q218" s="38">
        <v>0</v>
      </c>
      <c r="R218" s="38">
        <v>0</v>
      </c>
      <c r="S218" s="38">
        <v>0</v>
      </c>
      <c r="T218" s="18">
        <f t="shared" ref="T218:T225" si="182">W218+X218</f>
        <v>8469.2000000000007</v>
      </c>
      <c r="U218" s="19">
        <v>0</v>
      </c>
      <c r="V218" s="38">
        <v>0</v>
      </c>
      <c r="W218" s="38">
        <f>13332.5-5000</f>
        <v>8332.5</v>
      </c>
      <c r="X218" s="38">
        <v>136.69999999999999</v>
      </c>
      <c r="Y218" s="18">
        <f t="shared" si="175"/>
        <v>0</v>
      </c>
      <c r="Z218" s="19">
        <v>0</v>
      </c>
      <c r="AA218" s="38">
        <v>0</v>
      </c>
      <c r="AB218" s="38">
        <v>0</v>
      </c>
      <c r="AC218" s="38">
        <v>0</v>
      </c>
      <c r="AD218" s="20">
        <f t="shared" ref="AD218:AD223" si="183">AG218+AH218</f>
        <v>0</v>
      </c>
      <c r="AE218" s="19">
        <v>0</v>
      </c>
      <c r="AF218" s="38">
        <v>0</v>
      </c>
      <c r="AG218" s="38">
        <v>0</v>
      </c>
      <c r="AH218" s="38">
        <v>0</v>
      </c>
      <c r="AI218" s="38">
        <f t="shared" ref="AI218:AI225" si="184">SUM(AK218:AM218)</f>
        <v>0</v>
      </c>
      <c r="AJ218" s="19">
        <v>0</v>
      </c>
      <c r="AK218" s="38">
        <v>0</v>
      </c>
      <c r="AL218" s="38">
        <v>0</v>
      </c>
      <c r="AM218" s="38">
        <v>0</v>
      </c>
    </row>
    <row r="219" spans="1:39" s="2" customFormat="1" ht="78.75" outlineLevel="2" x14ac:dyDescent="0.25">
      <c r="A219" s="8" t="s">
        <v>876</v>
      </c>
      <c r="B219" s="115" t="s">
        <v>858</v>
      </c>
      <c r="C219" s="26" t="s">
        <v>32</v>
      </c>
      <c r="D219" s="31" t="s">
        <v>41</v>
      </c>
      <c r="E219" s="20">
        <f t="shared" si="174"/>
        <v>7698.6</v>
      </c>
      <c r="F219" s="38">
        <f t="shared" si="176"/>
        <v>0</v>
      </c>
      <c r="G219" s="38">
        <f t="shared" si="177"/>
        <v>0</v>
      </c>
      <c r="H219" s="38">
        <f t="shared" si="178"/>
        <v>7621.6</v>
      </c>
      <c r="I219" s="38">
        <f t="shared" si="179"/>
        <v>77</v>
      </c>
      <c r="J219" s="18">
        <f t="shared" si="180"/>
        <v>0</v>
      </c>
      <c r="K219" s="19">
        <v>0</v>
      </c>
      <c r="L219" s="38">
        <v>0</v>
      </c>
      <c r="M219" s="19">
        <v>0</v>
      </c>
      <c r="N219" s="38">
        <v>0</v>
      </c>
      <c r="O219" s="18">
        <f t="shared" si="181"/>
        <v>0</v>
      </c>
      <c r="P219" s="19">
        <v>0</v>
      </c>
      <c r="Q219" s="38">
        <v>0</v>
      </c>
      <c r="R219" s="38">
        <v>0</v>
      </c>
      <c r="S219" s="38">
        <v>0</v>
      </c>
      <c r="T219" s="18">
        <f t="shared" si="182"/>
        <v>7698.6</v>
      </c>
      <c r="U219" s="19">
        <v>0</v>
      </c>
      <c r="V219" s="38">
        <v>0</v>
      </c>
      <c r="W219" s="38">
        <v>7621.6</v>
      </c>
      <c r="X219" s="38">
        <v>77</v>
      </c>
      <c r="Y219" s="18">
        <f t="shared" si="175"/>
        <v>0</v>
      </c>
      <c r="Z219" s="19">
        <v>0</v>
      </c>
      <c r="AA219" s="38">
        <v>0</v>
      </c>
      <c r="AB219" s="38">
        <v>0</v>
      </c>
      <c r="AC219" s="38">
        <v>0</v>
      </c>
      <c r="AD219" s="20">
        <f t="shared" si="183"/>
        <v>0</v>
      </c>
      <c r="AE219" s="19">
        <v>0</v>
      </c>
      <c r="AF219" s="38">
        <v>0</v>
      </c>
      <c r="AG219" s="38">
        <v>0</v>
      </c>
      <c r="AH219" s="38">
        <v>0</v>
      </c>
      <c r="AI219" s="38">
        <f t="shared" si="184"/>
        <v>0</v>
      </c>
      <c r="AJ219" s="19">
        <v>0</v>
      </c>
      <c r="AK219" s="38">
        <v>0</v>
      </c>
      <c r="AL219" s="38">
        <v>0</v>
      </c>
      <c r="AM219" s="38">
        <v>0</v>
      </c>
    </row>
    <row r="220" spans="1:39" s="2" customFormat="1" ht="78.75" outlineLevel="2" x14ac:dyDescent="0.25">
      <c r="A220" s="8" t="s">
        <v>877</v>
      </c>
      <c r="B220" s="115" t="s">
        <v>859</v>
      </c>
      <c r="C220" s="26" t="s">
        <v>32</v>
      </c>
      <c r="D220" s="31" t="s">
        <v>41</v>
      </c>
      <c r="E220" s="20">
        <f t="shared" si="174"/>
        <v>7837</v>
      </c>
      <c r="F220" s="38">
        <f t="shared" si="176"/>
        <v>0</v>
      </c>
      <c r="G220" s="38">
        <f t="shared" si="177"/>
        <v>0</v>
      </c>
      <c r="H220" s="38">
        <f t="shared" si="178"/>
        <v>7758.6</v>
      </c>
      <c r="I220" s="38">
        <f t="shared" si="179"/>
        <v>78.400000000000006</v>
      </c>
      <c r="J220" s="18">
        <f t="shared" si="180"/>
        <v>0</v>
      </c>
      <c r="K220" s="19">
        <v>0</v>
      </c>
      <c r="L220" s="38">
        <v>0</v>
      </c>
      <c r="M220" s="19">
        <v>0</v>
      </c>
      <c r="N220" s="38">
        <v>0</v>
      </c>
      <c r="O220" s="18">
        <f t="shared" si="181"/>
        <v>0</v>
      </c>
      <c r="P220" s="19">
        <v>0</v>
      </c>
      <c r="Q220" s="38">
        <v>0</v>
      </c>
      <c r="R220" s="38">
        <v>0</v>
      </c>
      <c r="S220" s="38">
        <v>0</v>
      </c>
      <c r="T220" s="18">
        <f t="shared" si="182"/>
        <v>7837</v>
      </c>
      <c r="U220" s="19">
        <v>0</v>
      </c>
      <c r="V220" s="38">
        <v>0</v>
      </c>
      <c r="W220" s="38">
        <v>7758.6</v>
      </c>
      <c r="X220" s="38">
        <v>78.400000000000006</v>
      </c>
      <c r="Y220" s="18">
        <f t="shared" si="175"/>
        <v>0</v>
      </c>
      <c r="Z220" s="19">
        <v>0</v>
      </c>
      <c r="AA220" s="38">
        <v>0</v>
      </c>
      <c r="AB220" s="38">
        <v>0</v>
      </c>
      <c r="AC220" s="38">
        <v>0</v>
      </c>
      <c r="AD220" s="20">
        <f t="shared" si="183"/>
        <v>0</v>
      </c>
      <c r="AE220" s="19">
        <v>0</v>
      </c>
      <c r="AF220" s="38">
        <v>0</v>
      </c>
      <c r="AG220" s="38">
        <v>0</v>
      </c>
      <c r="AH220" s="38">
        <v>0</v>
      </c>
      <c r="AI220" s="38">
        <f t="shared" si="184"/>
        <v>0</v>
      </c>
      <c r="AJ220" s="19">
        <v>0</v>
      </c>
      <c r="AK220" s="38">
        <v>0</v>
      </c>
      <c r="AL220" s="38">
        <v>0</v>
      </c>
      <c r="AM220" s="38">
        <v>0</v>
      </c>
    </row>
    <row r="221" spans="1:39" s="2" customFormat="1" ht="94.5" outlineLevel="2" x14ac:dyDescent="0.25">
      <c r="A221" s="8" t="s">
        <v>878</v>
      </c>
      <c r="B221" s="114" t="s">
        <v>860</v>
      </c>
      <c r="C221" s="26" t="s">
        <v>32</v>
      </c>
      <c r="D221" s="31" t="s">
        <v>41</v>
      </c>
      <c r="E221" s="20">
        <f t="shared" si="174"/>
        <v>7698.6</v>
      </c>
      <c r="F221" s="38">
        <f t="shared" si="176"/>
        <v>0</v>
      </c>
      <c r="G221" s="38">
        <f t="shared" si="177"/>
        <v>0</v>
      </c>
      <c r="H221" s="38">
        <f t="shared" si="178"/>
        <v>7621.6</v>
      </c>
      <c r="I221" s="38">
        <f t="shared" si="179"/>
        <v>77</v>
      </c>
      <c r="J221" s="18">
        <f t="shared" si="180"/>
        <v>0</v>
      </c>
      <c r="K221" s="19">
        <v>0</v>
      </c>
      <c r="L221" s="38">
        <v>0</v>
      </c>
      <c r="M221" s="19">
        <v>0</v>
      </c>
      <c r="N221" s="38">
        <v>0</v>
      </c>
      <c r="O221" s="18">
        <f t="shared" si="181"/>
        <v>0</v>
      </c>
      <c r="P221" s="19">
        <v>0</v>
      </c>
      <c r="Q221" s="38">
        <v>0</v>
      </c>
      <c r="R221" s="38">
        <v>0</v>
      </c>
      <c r="S221" s="38">
        <v>0</v>
      </c>
      <c r="T221" s="18">
        <f t="shared" si="182"/>
        <v>0</v>
      </c>
      <c r="U221" s="19">
        <v>0</v>
      </c>
      <c r="V221" s="38">
        <v>0</v>
      </c>
      <c r="W221" s="38">
        <v>0</v>
      </c>
      <c r="X221" s="38">
        <v>0</v>
      </c>
      <c r="Y221" s="18">
        <f t="shared" si="175"/>
        <v>0</v>
      </c>
      <c r="Z221" s="19">
        <v>0</v>
      </c>
      <c r="AA221" s="38">
        <v>0</v>
      </c>
      <c r="AB221" s="38">
        <v>0</v>
      </c>
      <c r="AC221" s="38">
        <v>0</v>
      </c>
      <c r="AD221" s="20">
        <f t="shared" si="183"/>
        <v>7698.6</v>
      </c>
      <c r="AE221" s="19">
        <v>0</v>
      </c>
      <c r="AF221" s="38">
        <v>0</v>
      </c>
      <c r="AG221" s="38">
        <v>7621.6</v>
      </c>
      <c r="AH221" s="38">
        <v>77</v>
      </c>
      <c r="AI221" s="38">
        <f t="shared" si="184"/>
        <v>0</v>
      </c>
      <c r="AJ221" s="19">
        <v>0</v>
      </c>
      <c r="AK221" s="38">
        <v>0</v>
      </c>
      <c r="AL221" s="38">
        <v>0</v>
      </c>
      <c r="AM221" s="38">
        <v>0</v>
      </c>
    </row>
    <row r="222" spans="1:39" s="2" customFormat="1" ht="78.75" outlineLevel="2" x14ac:dyDescent="0.25">
      <c r="A222" s="8" t="s">
        <v>879</v>
      </c>
      <c r="B222" s="114" t="s">
        <v>861</v>
      </c>
      <c r="C222" s="26" t="s">
        <v>32</v>
      </c>
      <c r="D222" s="31" t="s">
        <v>41</v>
      </c>
      <c r="E222" s="20">
        <f t="shared" si="174"/>
        <v>7698.6</v>
      </c>
      <c r="F222" s="38">
        <f t="shared" si="176"/>
        <v>0</v>
      </c>
      <c r="G222" s="38">
        <f t="shared" si="177"/>
        <v>0</v>
      </c>
      <c r="H222" s="38">
        <f t="shared" si="178"/>
        <v>7621.6</v>
      </c>
      <c r="I222" s="38">
        <f t="shared" si="179"/>
        <v>77</v>
      </c>
      <c r="J222" s="18">
        <f t="shared" si="180"/>
        <v>0</v>
      </c>
      <c r="K222" s="19">
        <v>0</v>
      </c>
      <c r="L222" s="38">
        <v>0</v>
      </c>
      <c r="M222" s="19">
        <v>0</v>
      </c>
      <c r="N222" s="38">
        <v>0</v>
      </c>
      <c r="O222" s="18">
        <f t="shared" si="181"/>
        <v>0</v>
      </c>
      <c r="P222" s="19">
        <v>0</v>
      </c>
      <c r="Q222" s="38">
        <v>0</v>
      </c>
      <c r="R222" s="38">
        <v>0</v>
      </c>
      <c r="S222" s="38">
        <v>0</v>
      </c>
      <c r="T222" s="18">
        <f t="shared" si="182"/>
        <v>0</v>
      </c>
      <c r="U222" s="19">
        <v>0</v>
      </c>
      <c r="V222" s="38">
        <v>0</v>
      </c>
      <c r="W222" s="38">
        <v>0</v>
      </c>
      <c r="X222" s="38">
        <v>0</v>
      </c>
      <c r="Y222" s="18">
        <f t="shared" ref="Y222:Y227" si="185">AB222+AC222</f>
        <v>0</v>
      </c>
      <c r="Z222" s="19">
        <v>0</v>
      </c>
      <c r="AA222" s="38">
        <v>0</v>
      </c>
      <c r="AB222" s="38">
        <v>0</v>
      </c>
      <c r="AC222" s="38">
        <v>0</v>
      </c>
      <c r="AD222" s="20">
        <f t="shared" si="183"/>
        <v>7698.6</v>
      </c>
      <c r="AE222" s="19">
        <v>0</v>
      </c>
      <c r="AF222" s="38">
        <v>0</v>
      </c>
      <c r="AG222" s="38">
        <v>7621.6</v>
      </c>
      <c r="AH222" s="38">
        <v>77</v>
      </c>
      <c r="AI222" s="38">
        <f t="shared" si="184"/>
        <v>0</v>
      </c>
      <c r="AJ222" s="19">
        <v>0</v>
      </c>
      <c r="AK222" s="38">
        <v>0</v>
      </c>
      <c r="AL222" s="38">
        <v>0</v>
      </c>
      <c r="AM222" s="38">
        <v>0</v>
      </c>
    </row>
    <row r="223" spans="1:39" s="2" customFormat="1" ht="78.75" outlineLevel="2" x14ac:dyDescent="0.25">
      <c r="A223" s="8" t="s">
        <v>880</v>
      </c>
      <c r="B223" s="114" t="s">
        <v>862</v>
      </c>
      <c r="C223" s="26" t="s">
        <v>32</v>
      </c>
      <c r="D223" s="31" t="s">
        <v>41</v>
      </c>
      <c r="E223" s="20">
        <f t="shared" si="174"/>
        <v>7698.6</v>
      </c>
      <c r="F223" s="38">
        <f t="shared" si="176"/>
        <v>0</v>
      </c>
      <c r="G223" s="38">
        <f t="shared" si="177"/>
        <v>0</v>
      </c>
      <c r="H223" s="38">
        <f t="shared" si="178"/>
        <v>7621.6</v>
      </c>
      <c r="I223" s="38">
        <f t="shared" si="179"/>
        <v>77</v>
      </c>
      <c r="J223" s="18">
        <f t="shared" si="180"/>
        <v>0</v>
      </c>
      <c r="K223" s="19">
        <v>0</v>
      </c>
      <c r="L223" s="38">
        <v>0</v>
      </c>
      <c r="M223" s="19">
        <v>0</v>
      </c>
      <c r="N223" s="38">
        <v>0</v>
      </c>
      <c r="O223" s="18">
        <f>SUM(P223:S223)</f>
        <v>0</v>
      </c>
      <c r="P223" s="19">
        <v>0</v>
      </c>
      <c r="Q223" s="38">
        <v>0</v>
      </c>
      <c r="R223" s="38">
        <v>0</v>
      </c>
      <c r="S223" s="38">
        <v>0</v>
      </c>
      <c r="T223" s="18">
        <f t="shared" si="182"/>
        <v>0</v>
      </c>
      <c r="U223" s="19">
        <v>0</v>
      </c>
      <c r="V223" s="38">
        <v>0</v>
      </c>
      <c r="W223" s="38">
        <v>0</v>
      </c>
      <c r="X223" s="38">
        <v>0</v>
      </c>
      <c r="Y223" s="18">
        <f t="shared" si="185"/>
        <v>0</v>
      </c>
      <c r="Z223" s="19">
        <v>0</v>
      </c>
      <c r="AA223" s="38">
        <v>0</v>
      </c>
      <c r="AB223" s="38">
        <v>0</v>
      </c>
      <c r="AC223" s="38">
        <v>0</v>
      </c>
      <c r="AD223" s="20">
        <f t="shared" si="183"/>
        <v>7698.6</v>
      </c>
      <c r="AE223" s="19">
        <v>0</v>
      </c>
      <c r="AF223" s="38">
        <v>0</v>
      </c>
      <c r="AG223" s="38">
        <v>7621.6</v>
      </c>
      <c r="AH223" s="38">
        <v>77</v>
      </c>
      <c r="AI223" s="38">
        <f t="shared" si="184"/>
        <v>0</v>
      </c>
      <c r="AJ223" s="19">
        <v>0</v>
      </c>
      <c r="AK223" s="38">
        <v>0</v>
      </c>
      <c r="AL223" s="38">
        <v>0</v>
      </c>
      <c r="AM223" s="38">
        <v>0</v>
      </c>
    </row>
    <row r="224" spans="1:39" s="2" customFormat="1" ht="94.5" outlineLevel="2" x14ac:dyDescent="0.25">
      <c r="A224" s="8" t="s">
        <v>881</v>
      </c>
      <c r="B224" s="114" t="s">
        <v>863</v>
      </c>
      <c r="C224" s="26" t="s">
        <v>32</v>
      </c>
      <c r="D224" s="31" t="s">
        <v>41</v>
      </c>
      <c r="E224" s="20">
        <f t="shared" si="174"/>
        <v>7698.6</v>
      </c>
      <c r="F224" s="38">
        <f t="shared" si="176"/>
        <v>0</v>
      </c>
      <c r="G224" s="38">
        <f t="shared" si="177"/>
        <v>0</v>
      </c>
      <c r="H224" s="38">
        <f t="shared" si="178"/>
        <v>7621.6</v>
      </c>
      <c r="I224" s="38">
        <f t="shared" si="179"/>
        <v>77</v>
      </c>
      <c r="J224" s="18">
        <f t="shared" si="180"/>
        <v>0</v>
      </c>
      <c r="K224" s="19">
        <v>0</v>
      </c>
      <c r="L224" s="38">
        <v>0</v>
      </c>
      <c r="M224" s="19">
        <v>0</v>
      </c>
      <c r="N224" s="38">
        <v>0</v>
      </c>
      <c r="O224" s="18">
        <f t="shared" si="181"/>
        <v>0</v>
      </c>
      <c r="P224" s="19">
        <v>0</v>
      </c>
      <c r="Q224" s="38">
        <v>0</v>
      </c>
      <c r="R224" s="38">
        <v>0</v>
      </c>
      <c r="S224" s="38">
        <v>0</v>
      </c>
      <c r="T224" s="18">
        <f t="shared" si="182"/>
        <v>0</v>
      </c>
      <c r="U224" s="19">
        <v>0</v>
      </c>
      <c r="V224" s="38">
        <v>0</v>
      </c>
      <c r="W224" s="38">
        <v>0</v>
      </c>
      <c r="X224" s="38">
        <v>0</v>
      </c>
      <c r="Y224" s="18">
        <f t="shared" si="185"/>
        <v>0</v>
      </c>
      <c r="Z224" s="19">
        <v>0</v>
      </c>
      <c r="AA224" s="38">
        <v>0</v>
      </c>
      <c r="AB224" s="38">
        <v>0</v>
      </c>
      <c r="AC224" s="38">
        <v>0</v>
      </c>
      <c r="AD224" s="20">
        <f>AG224+AH224</f>
        <v>7698.6</v>
      </c>
      <c r="AE224" s="19">
        <v>0</v>
      </c>
      <c r="AF224" s="38">
        <v>0</v>
      </c>
      <c r="AG224" s="38">
        <v>7621.6</v>
      </c>
      <c r="AH224" s="38">
        <v>77</v>
      </c>
      <c r="AI224" s="38">
        <f t="shared" si="184"/>
        <v>0</v>
      </c>
      <c r="AJ224" s="19">
        <v>0</v>
      </c>
      <c r="AK224" s="38">
        <v>0</v>
      </c>
      <c r="AL224" s="38">
        <v>0</v>
      </c>
      <c r="AM224" s="38">
        <v>0</v>
      </c>
    </row>
    <row r="225" spans="1:39" s="2" customFormat="1" ht="78.75" outlineLevel="2" x14ac:dyDescent="0.25">
      <c r="A225" s="8" t="s">
        <v>882</v>
      </c>
      <c r="B225" s="114" t="s">
        <v>864</v>
      </c>
      <c r="C225" s="26" t="s">
        <v>32</v>
      </c>
      <c r="D225" s="31" t="s">
        <v>41</v>
      </c>
      <c r="E225" s="20">
        <f t="shared" si="174"/>
        <v>7698.6</v>
      </c>
      <c r="F225" s="38">
        <f t="shared" si="176"/>
        <v>0</v>
      </c>
      <c r="G225" s="38">
        <f t="shared" si="177"/>
        <v>0</v>
      </c>
      <c r="H225" s="38">
        <f t="shared" si="178"/>
        <v>7621.6</v>
      </c>
      <c r="I225" s="38">
        <f t="shared" si="179"/>
        <v>77</v>
      </c>
      <c r="J225" s="18">
        <f t="shared" si="180"/>
        <v>0</v>
      </c>
      <c r="K225" s="19">
        <v>0</v>
      </c>
      <c r="L225" s="38">
        <v>0</v>
      </c>
      <c r="M225" s="19">
        <v>0</v>
      </c>
      <c r="N225" s="38">
        <v>0</v>
      </c>
      <c r="O225" s="18">
        <f t="shared" si="181"/>
        <v>0</v>
      </c>
      <c r="P225" s="19">
        <v>0</v>
      </c>
      <c r="Q225" s="38">
        <v>0</v>
      </c>
      <c r="R225" s="38">
        <v>0</v>
      </c>
      <c r="S225" s="38">
        <v>0</v>
      </c>
      <c r="T225" s="18">
        <f t="shared" si="182"/>
        <v>0</v>
      </c>
      <c r="U225" s="19">
        <v>0</v>
      </c>
      <c r="V225" s="38">
        <v>0</v>
      </c>
      <c r="W225" s="38">
        <v>0</v>
      </c>
      <c r="X225" s="38">
        <v>0</v>
      </c>
      <c r="Y225" s="18">
        <f t="shared" si="185"/>
        <v>0</v>
      </c>
      <c r="Z225" s="19">
        <v>0</v>
      </c>
      <c r="AA225" s="38">
        <v>0</v>
      </c>
      <c r="AB225" s="38">
        <v>0</v>
      </c>
      <c r="AC225" s="38">
        <v>0</v>
      </c>
      <c r="AD225" s="20">
        <f>AG225+AH225</f>
        <v>7698.6</v>
      </c>
      <c r="AE225" s="19">
        <v>0</v>
      </c>
      <c r="AF225" s="38">
        <v>0</v>
      </c>
      <c r="AG225" s="38">
        <v>7621.6</v>
      </c>
      <c r="AH225" s="38">
        <v>77</v>
      </c>
      <c r="AI225" s="38">
        <f t="shared" si="184"/>
        <v>0</v>
      </c>
      <c r="AJ225" s="19">
        <v>0</v>
      </c>
      <c r="AK225" s="38">
        <v>0</v>
      </c>
      <c r="AL225" s="38">
        <v>0</v>
      </c>
      <c r="AM225" s="38">
        <v>0</v>
      </c>
    </row>
    <row r="226" spans="1:39" s="2" customFormat="1" ht="63" outlineLevel="2" x14ac:dyDescent="0.25">
      <c r="A226" s="8" t="s">
        <v>883</v>
      </c>
      <c r="B226" s="121" t="s">
        <v>868</v>
      </c>
      <c r="C226" s="26" t="s">
        <v>32</v>
      </c>
      <c r="D226" s="31" t="s">
        <v>32</v>
      </c>
      <c r="E226" s="20">
        <f>SUM(F226:I226)</f>
        <v>13610.1</v>
      </c>
      <c r="F226" s="38">
        <f>K226+P226+U226</f>
        <v>0</v>
      </c>
      <c r="G226" s="38">
        <f t="shared" ref="G226:I228" si="186">L226+Q226+V226+AA226+AF226+AK226</f>
        <v>13201.7</v>
      </c>
      <c r="H226" s="38">
        <f t="shared" si="186"/>
        <v>408.4</v>
      </c>
      <c r="I226" s="38">
        <f t="shared" si="186"/>
        <v>0</v>
      </c>
      <c r="J226" s="18">
        <f>SUM(K226:N226)</f>
        <v>0</v>
      </c>
      <c r="K226" s="19">
        <v>0</v>
      </c>
      <c r="L226" s="38">
        <v>0</v>
      </c>
      <c r="M226" s="19">
        <v>0</v>
      </c>
      <c r="N226" s="38">
        <v>0</v>
      </c>
      <c r="O226" s="18">
        <f>SUM(P226:S226)</f>
        <v>0</v>
      </c>
      <c r="P226" s="19">
        <v>0</v>
      </c>
      <c r="Q226" s="38">
        <v>0</v>
      </c>
      <c r="R226" s="38">
        <v>0</v>
      </c>
      <c r="S226" s="38">
        <v>0</v>
      </c>
      <c r="T226" s="18">
        <f>V226+W226</f>
        <v>13610.1</v>
      </c>
      <c r="U226" s="19"/>
      <c r="V226" s="124">
        <v>13201.7</v>
      </c>
      <c r="W226" s="38">
        <v>408.4</v>
      </c>
      <c r="X226" s="38">
        <v>0</v>
      </c>
      <c r="Y226" s="18">
        <f t="shared" si="185"/>
        <v>0</v>
      </c>
      <c r="Z226" s="19">
        <v>0</v>
      </c>
      <c r="AA226" s="38">
        <v>0</v>
      </c>
      <c r="AB226" s="38">
        <v>0</v>
      </c>
      <c r="AC226" s="38">
        <v>0</v>
      </c>
      <c r="AD226" s="20">
        <f t="shared" ref="AD226:AM226" si="187">SUM(AD227:AD230)</f>
        <v>0</v>
      </c>
      <c r="AE226" s="20">
        <f t="shared" si="187"/>
        <v>0</v>
      </c>
      <c r="AF226" s="20">
        <f t="shared" si="187"/>
        <v>0</v>
      </c>
      <c r="AG226" s="20">
        <f t="shared" si="187"/>
        <v>0</v>
      </c>
      <c r="AH226" s="20">
        <f t="shared" si="187"/>
        <v>0</v>
      </c>
      <c r="AI226" s="20">
        <f t="shared" si="187"/>
        <v>0</v>
      </c>
      <c r="AJ226" s="20">
        <f t="shared" si="187"/>
        <v>0</v>
      </c>
      <c r="AK226" s="20">
        <f t="shared" si="187"/>
        <v>0</v>
      </c>
      <c r="AL226" s="20">
        <f t="shared" si="187"/>
        <v>0</v>
      </c>
      <c r="AM226" s="20">
        <f t="shared" si="187"/>
        <v>0</v>
      </c>
    </row>
    <row r="227" spans="1:39" s="2" customFormat="1" ht="69.75" customHeight="1" outlineLevel="2" x14ac:dyDescent="0.25">
      <c r="A227" s="8" t="s">
        <v>884</v>
      </c>
      <c r="B227" s="122" t="s">
        <v>871</v>
      </c>
      <c r="C227" s="26" t="s">
        <v>32</v>
      </c>
      <c r="D227" s="31" t="s">
        <v>41</v>
      </c>
      <c r="E227" s="20">
        <f>SUM(F227:I227)</f>
        <v>1000.1</v>
      </c>
      <c r="F227" s="38">
        <f>K227+P227+U227</f>
        <v>0</v>
      </c>
      <c r="G227" s="38">
        <f t="shared" si="186"/>
        <v>0</v>
      </c>
      <c r="H227" s="38">
        <f t="shared" si="186"/>
        <v>990.1</v>
      </c>
      <c r="I227" s="38">
        <f t="shared" si="186"/>
        <v>10</v>
      </c>
      <c r="J227" s="18">
        <f>SUM(K227:N227)</f>
        <v>0</v>
      </c>
      <c r="K227" s="19">
        <v>0</v>
      </c>
      <c r="L227" s="38">
        <v>0</v>
      </c>
      <c r="M227" s="19">
        <v>0</v>
      </c>
      <c r="N227" s="38">
        <v>0</v>
      </c>
      <c r="O227" s="18">
        <f>SUM(P227:S227)</f>
        <v>0</v>
      </c>
      <c r="P227" s="19">
        <v>0</v>
      </c>
      <c r="Q227" s="38">
        <v>0</v>
      </c>
      <c r="R227" s="38">
        <v>0</v>
      </c>
      <c r="S227" s="38">
        <v>0</v>
      </c>
      <c r="T227" s="18">
        <f>W227+X227</f>
        <v>1000.1</v>
      </c>
      <c r="U227" s="19"/>
      <c r="V227" s="38">
        <v>0</v>
      </c>
      <c r="W227" s="38">
        <v>990.1</v>
      </c>
      <c r="X227" s="38">
        <v>10</v>
      </c>
      <c r="Y227" s="18">
        <f t="shared" si="185"/>
        <v>0</v>
      </c>
      <c r="Z227" s="19">
        <v>0</v>
      </c>
      <c r="AA227" s="38">
        <v>0</v>
      </c>
      <c r="AB227" s="38">
        <v>0</v>
      </c>
      <c r="AC227" s="38">
        <v>0</v>
      </c>
      <c r="AD227" s="20">
        <f t="shared" ref="AD227:AM227" si="188">SUM(AD230:AD232)</f>
        <v>0</v>
      </c>
      <c r="AE227" s="20">
        <f t="shared" si="188"/>
        <v>0</v>
      </c>
      <c r="AF227" s="20">
        <f t="shared" si="188"/>
        <v>0</v>
      </c>
      <c r="AG227" s="20">
        <f t="shared" si="188"/>
        <v>0</v>
      </c>
      <c r="AH227" s="20">
        <f t="shared" si="188"/>
        <v>0</v>
      </c>
      <c r="AI227" s="20">
        <f t="shared" si="188"/>
        <v>0</v>
      </c>
      <c r="AJ227" s="20">
        <f t="shared" si="188"/>
        <v>0</v>
      </c>
      <c r="AK227" s="20">
        <f t="shared" si="188"/>
        <v>0</v>
      </c>
      <c r="AL227" s="20">
        <f t="shared" si="188"/>
        <v>0</v>
      </c>
      <c r="AM227" s="20">
        <f t="shared" si="188"/>
        <v>0</v>
      </c>
    </row>
    <row r="228" spans="1:39" s="2" customFormat="1" ht="129" customHeight="1" outlineLevel="2" x14ac:dyDescent="0.25">
      <c r="A228" s="8" t="s">
        <v>936</v>
      </c>
      <c r="B228" s="122" t="s">
        <v>937</v>
      </c>
      <c r="C228" s="26" t="s">
        <v>32</v>
      </c>
      <c r="D228" s="31" t="s">
        <v>118</v>
      </c>
      <c r="E228" s="20">
        <f>SUM(F228:I228)</f>
        <v>4032.6</v>
      </c>
      <c r="F228" s="38">
        <f>K228+P228+U228</f>
        <v>0</v>
      </c>
      <c r="G228" s="38">
        <f t="shared" si="186"/>
        <v>0</v>
      </c>
      <c r="H228" s="38">
        <f t="shared" si="186"/>
        <v>4032.6</v>
      </c>
      <c r="I228" s="38">
        <f t="shared" si="186"/>
        <v>0</v>
      </c>
      <c r="J228" s="18"/>
      <c r="K228" s="19"/>
      <c r="L228" s="38"/>
      <c r="M228" s="19"/>
      <c r="N228" s="38"/>
      <c r="O228" s="18"/>
      <c r="P228" s="19"/>
      <c r="Q228" s="38"/>
      <c r="R228" s="38"/>
      <c r="S228" s="38"/>
      <c r="T228" s="18">
        <f>W228</f>
        <v>4032.6</v>
      </c>
      <c r="U228" s="19"/>
      <c r="V228" s="38"/>
      <c r="W228" s="38">
        <v>4032.6</v>
      </c>
      <c r="X228" s="38"/>
      <c r="Y228" s="18"/>
      <c r="Z228" s="19"/>
      <c r="AA228" s="38"/>
      <c r="AB228" s="38"/>
      <c r="AC228" s="38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</row>
    <row r="229" spans="1:39" s="2" customFormat="1" ht="106.5" customHeight="1" outlineLevel="2" x14ac:dyDescent="0.25">
      <c r="A229" s="8" t="s">
        <v>989</v>
      </c>
      <c r="B229" s="122" t="s">
        <v>990</v>
      </c>
      <c r="C229" s="26" t="s">
        <v>32</v>
      </c>
      <c r="D229" s="31" t="s">
        <v>118</v>
      </c>
      <c r="E229" s="20">
        <f>SUM(F229:I229)</f>
        <v>845.9</v>
      </c>
      <c r="F229" s="38">
        <f>K229+P229+U229</f>
        <v>0</v>
      </c>
      <c r="G229" s="38">
        <f t="shared" ref="G229" si="189">L229+Q229+V229+AA229+AF229+AK229</f>
        <v>0</v>
      </c>
      <c r="H229" s="38">
        <f t="shared" ref="H229" si="190">M229+R229+W229+AB229+AG229+AL229</f>
        <v>845.9</v>
      </c>
      <c r="I229" s="38">
        <f t="shared" ref="I229" si="191">N229+S229+X229+AC229+AH229+AM229</f>
        <v>0</v>
      </c>
      <c r="J229" s="18"/>
      <c r="K229" s="19"/>
      <c r="L229" s="38"/>
      <c r="M229" s="19"/>
      <c r="N229" s="38"/>
      <c r="O229" s="18"/>
      <c r="P229" s="19"/>
      <c r="Q229" s="38"/>
      <c r="R229" s="38"/>
      <c r="S229" s="38"/>
      <c r="T229" s="18">
        <f>W229</f>
        <v>845.9</v>
      </c>
      <c r="U229" s="19"/>
      <c r="V229" s="38"/>
      <c r="W229" s="38">
        <v>845.9</v>
      </c>
      <c r="X229" s="38"/>
      <c r="Y229" s="18"/>
      <c r="Z229" s="19"/>
      <c r="AA229" s="38"/>
      <c r="AB229" s="38"/>
      <c r="AC229" s="38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</row>
    <row r="230" spans="1:39" s="2" customFormat="1" ht="42" customHeight="1" outlineLevel="2" x14ac:dyDescent="0.25">
      <c r="A230" s="138" t="s">
        <v>536</v>
      </c>
      <c r="B230" s="173" t="s">
        <v>461</v>
      </c>
      <c r="C230" s="174"/>
      <c r="D230" s="174"/>
      <c r="E230" s="20">
        <f>SUM(E231:E233)</f>
        <v>11490</v>
      </c>
      <c r="F230" s="20">
        <f t="shared" ref="F230:AM230" si="192">SUM(F231:F233)</f>
        <v>0</v>
      </c>
      <c r="G230" s="20">
        <f t="shared" si="192"/>
        <v>0</v>
      </c>
      <c r="H230" s="20">
        <f t="shared" si="192"/>
        <v>11375.099999999999</v>
      </c>
      <c r="I230" s="20">
        <f t="shared" si="192"/>
        <v>114.89999999999999</v>
      </c>
      <c r="J230" s="20">
        <f t="shared" si="192"/>
        <v>4913.1000000000004</v>
      </c>
      <c r="K230" s="20">
        <f t="shared" si="192"/>
        <v>0</v>
      </c>
      <c r="L230" s="20">
        <f t="shared" si="192"/>
        <v>0</v>
      </c>
      <c r="M230" s="20">
        <f t="shared" si="192"/>
        <v>4864</v>
      </c>
      <c r="N230" s="20">
        <f t="shared" si="192"/>
        <v>49.1</v>
      </c>
      <c r="O230" s="20">
        <f t="shared" si="192"/>
        <v>4524.7000000000007</v>
      </c>
      <c r="P230" s="20">
        <f t="shared" si="192"/>
        <v>0</v>
      </c>
      <c r="Q230" s="20">
        <f t="shared" si="192"/>
        <v>0</v>
      </c>
      <c r="R230" s="20">
        <f t="shared" si="192"/>
        <v>4479.3999999999996</v>
      </c>
      <c r="S230" s="20">
        <f t="shared" si="192"/>
        <v>45.3</v>
      </c>
      <c r="T230" s="20">
        <f t="shared" si="192"/>
        <v>2052.1999999999998</v>
      </c>
      <c r="U230" s="20">
        <f t="shared" si="192"/>
        <v>0</v>
      </c>
      <c r="V230" s="20">
        <f t="shared" si="192"/>
        <v>0</v>
      </c>
      <c r="W230" s="20">
        <f t="shared" si="192"/>
        <v>2031.7</v>
      </c>
      <c r="X230" s="20">
        <f t="shared" si="192"/>
        <v>20.5</v>
      </c>
      <c r="Y230" s="20">
        <f t="shared" si="192"/>
        <v>0</v>
      </c>
      <c r="Z230" s="20">
        <f t="shared" si="192"/>
        <v>0</v>
      </c>
      <c r="AA230" s="20">
        <f t="shared" si="192"/>
        <v>0</v>
      </c>
      <c r="AB230" s="20">
        <f t="shared" si="192"/>
        <v>0</v>
      </c>
      <c r="AC230" s="20">
        <f t="shared" si="192"/>
        <v>0</v>
      </c>
      <c r="AD230" s="20">
        <f t="shared" si="192"/>
        <v>0</v>
      </c>
      <c r="AE230" s="20">
        <f t="shared" si="192"/>
        <v>0</v>
      </c>
      <c r="AF230" s="20">
        <f t="shared" si="192"/>
        <v>0</v>
      </c>
      <c r="AG230" s="20">
        <f t="shared" si="192"/>
        <v>0</v>
      </c>
      <c r="AH230" s="20">
        <f t="shared" si="192"/>
        <v>0</v>
      </c>
      <c r="AI230" s="20">
        <f t="shared" si="192"/>
        <v>0</v>
      </c>
      <c r="AJ230" s="20">
        <f t="shared" si="192"/>
        <v>0</v>
      </c>
      <c r="AK230" s="20">
        <f t="shared" si="192"/>
        <v>0</v>
      </c>
      <c r="AL230" s="20">
        <f t="shared" si="192"/>
        <v>0</v>
      </c>
      <c r="AM230" s="20">
        <f t="shared" si="192"/>
        <v>0</v>
      </c>
    </row>
    <row r="231" spans="1:39" s="2" customFormat="1" ht="47.25" outlineLevel="2" x14ac:dyDescent="0.25">
      <c r="A231" s="8" t="s">
        <v>462</v>
      </c>
      <c r="B231" s="48" t="s">
        <v>417</v>
      </c>
      <c r="C231" s="26" t="s">
        <v>32</v>
      </c>
      <c r="D231" s="31" t="s">
        <v>41</v>
      </c>
      <c r="E231" s="20">
        <f>SUM(F231:I231)</f>
        <v>3030.3</v>
      </c>
      <c r="F231" s="38">
        <f>K231+P231+U231</f>
        <v>0</v>
      </c>
      <c r="G231" s="38">
        <f>L231+Q231+V231+AA231+AF231+AK231</f>
        <v>0</v>
      </c>
      <c r="H231" s="38">
        <f>M231+R231+W231+AB231+AG231+AL231</f>
        <v>3000</v>
      </c>
      <c r="I231" s="38">
        <f>N231+S231+X231+AC231+AH231+AM231</f>
        <v>30.299999999999997</v>
      </c>
      <c r="J231" s="18">
        <f>SUM(K231:N231)</f>
        <v>0</v>
      </c>
      <c r="K231" s="19">
        <v>0</v>
      </c>
      <c r="L231" s="38">
        <v>0</v>
      </c>
      <c r="M231" s="19">
        <v>0</v>
      </c>
      <c r="N231" s="38">
        <v>0</v>
      </c>
      <c r="O231" s="18">
        <f>SUM(P231:S231)</f>
        <v>3030.3</v>
      </c>
      <c r="P231" s="19">
        <v>0</v>
      </c>
      <c r="Q231" s="38">
        <v>0</v>
      </c>
      <c r="R231" s="38">
        <f>4393.7-1393.7</f>
        <v>3000</v>
      </c>
      <c r="S231" s="38">
        <f>44.4-14.1</f>
        <v>30.299999999999997</v>
      </c>
      <c r="T231" s="18">
        <f>SUM(U231:X231)</f>
        <v>0</v>
      </c>
      <c r="U231" s="19">
        <v>0</v>
      </c>
      <c r="V231" s="38">
        <v>0</v>
      </c>
      <c r="W231" s="38">
        <v>0</v>
      </c>
      <c r="X231" s="38">
        <v>0</v>
      </c>
      <c r="Y231" s="18">
        <f>SUM(Z231:AC231)</f>
        <v>0</v>
      </c>
      <c r="Z231" s="19">
        <v>0</v>
      </c>
      <c r="AA231" s="38">
        <v>0</v>
      </c>
      <c r="AB231" s="38">
        <v>0</v>
      </c>
      <c r="AC231" s="38">
        <v>0</v>
      </c>
      <c r="AD231" s="38">
        <f>SUM(AF231:AH231)</f>
        <v>0</v>
      </c>
      <c r="AE231" s="19">
        <v>0</v>
      </c>
      <c r="AF231" s="38">
        <v>0</v>
      </c>
      <c r="AG231" s="38">
        <v>0</v>
      </c>
      <c r="AH231" s="38">
        <v>0</v>
      </c>
      <c r="AI231" s="38">
        <f>SUM(AK231:AM231)</f>
        <v>0</v>
      </c>
      <c r="AJ231" s="19">
        <v>0</v>
      </c>
      <c r="AK231" s="38">
        <v>0</v>
      </c>
      <c r="AL231" s="38">
        <v>0</v>
      </c>
      <c r="AM231" s="38">
        <v>0</v>
      </c>
    </row>
    <row r="232" spans="1:39" s="2" customFormat="1" ht="78.75" outlineLevel="2" x14ac:dyDescent="0.25">
      <c r="A232" s="8" t="s">
        <v>463</v>
      </c>
      <c r="B232" s="48" t="s">
        <v>418</v>
      </c>
      <c r="C232" s="26" t="s">
        <v>32</v>
      </c>
      <c r="D232" s="31" t="s">
        <v>41</v>
      </c>
      <c r="E232" s="20">
        <f>SUM(F232:I232)</f>
        <v>2052.1999999999998</v>
      </c>
      <c r="F232" s="38">
        <f>K232+P232+U232</f>
        <v>0</v>
      </c>
      <c r="G232" s="38">
        <f t="shared" ref="G232:I233" si="193">L232+Q232+V232+AA232+AF232+AK232</f>
        <v>0</v>
      </c>
      <c r="H232" s="38">
        <f t="shared" si="193"/>
        <v>2031.7</v>
      </c>
      <c r="I232" s="38">
        <f t="shared" si="193"/>
        <v>20.5</v>
      </c>
      <c r="J232" s="18">
        <f>SUM(K232:N232)</f>
        <v>0</v>
      </c>
      <c r="K232" s="19">
        <v>0</v>
      </c>
      <c r="L232" s="38">
        <v>0</v>
      </c>
      <c r="M232" s="19">
        <v>0</v>
      </c>
      <c r="N232" s="38">
        <v>0</v>
      </c>
      <c r="O232" s="18">
        <f>SUM(P232:S232)</f>
        <v>0</v>
      </c>
      <c r="P232" s="19">
        <v>0</v>
      </c>
      <c r="Q232" s="38">
        <v>0</v>
      </c>
      <c r="R232" s="38">
        <f>2031.7-2031.7</f>
        <v>0</v>
      </c>
      <c r="S232" s="38">
        <f>20.5-20.5</f>
        <v>0</v>
      </c>
      <c r="T232" s="18">
        <f>SUM(U232:X232)</f>
        <v>2052.1999999999998</v>
      </c>
      <c r="U232" s="19">
        <v>0</v>
      </c>
      <c r="V232" s="38">
        <v>0</v>
      </c>
      <c r="W232" s="38">
        <v>2031.7</v>
      </c>
      <c r="X232" s="38">
        <v>20.5</v>
      </c>
      <c r="Y232" s="18">
        <f>SUM(Z232:AC232)</f>
        <v>0</v>
      </c>
      <c r="Z232" s="19">
        <v>0</v>
      </c>
      <c r="AA232" s="38">
        <v>0</v>
      </c>
      <c r="AB232" s="38">
        <v>0</v>
      </c>
      <c r="AC232" s="38">
        <v>0</v>
      </c>
      <c r="AD232" s="38">
        <f>SUM(AF232:AH232)</f>
        <v>0</v>
      </c>
      <c r="AE232" s="19">
        <v>0</v>
      </c>
      <c r="AF232" s="38">
        <v>0</v>
      </c>
      <c r="AG232" s="38">
        <v>0</v>
      </c>
      <c r="AH232" s="38">
        <v>0</v>
      </c>
      <c r="AI232" s="38">
        <f>SUM(AK232:AM232)</f>
        <v>0</v>
      </c>
      <c r="AJ232" s="19">
        <v>0</v>
      </c>
      <c r="AK232" s="38">
        <v>0</v>
      </c>
      <c r="AL232" s="38">
        <v>0</v>
      </c>
      <c r="AM232" s="38">
        <v>0</v>
      </c>
    </row>
    <row r="233" spans="1:39" s="2" customFormat="1" ht="63" outlineLevel="2" x14ac:dyDescent="0.25">
      <c r="A233" s="8" t="s">
        <v>909</v>
      </c>
      <c r="B233" s="25" t="s">
        <v>428</v>
      </c>
      <c r="C233" s="26" t="s">
        <v>32</v>
      </c>
      <c r="D233" s="31" t="s">
        <v>41</v>
      </c>
      <c r="E233" s="20">
        <f>SUM(F233:I233)</f>
        <v>6407.5</v>
      </c>
      <c r="F233" s="38">
        <f>K233+P233+U233</f>
        <v>0</v>
      </c>
      <c r="G233" s="38">
        <f t="shared" si="193"/>
        <v>0</v>
      </c>
      <c r="H233" s="38">
        <f t="shared" si="193"/>
        <v>6343.4</v>
      </c>
      <c r="I233" s="38">
        <f t="shared" si="193"/>
        <v>64.099999999999994</v>
      </c>
      <c r="J233" s="18">
        <f>SUM(K233:N233)</f>
        <v>4913.1000000000004</v>
      </c>
      <c r="K233" s="19">
        <v>0</v>
      </c>
      <c r="L233" s="38">
        <v>0</v>
      </c>
      <c r="M233" s="19">
        <v>4864</v>
      </c>
      <c r="N233" s="38">
        <v>49.1</v>
      </c>
      <c r="O233" s="18">
        <f>SUM(P233:S233)</f>
        <v>1494.4</v>
      </c>
      <c r="P233" s="19">
        <v>0</v>
      </c>
      <c r="Q233" s="38">
        <v>0</v>
      </c>
      <c r="R233" s="38">
        <v>1479.4</v>
      </c>
      <c r="S233" s="38">
        <v>15</v>
      </c>
      <c r="T233" s="18">
        <f>SUM(U233:X233)</f>
        <v>0</v>
      </c>
      <c r="U233" s="19">
        <v>0</v>
      </c>
      <c r="V233" s="38">
        <v>0</v>
      </c>
      <c r="W233" s="38">
        <v>0</v>
      </c>
      <c r="X233" s="38">
        <v>0</v>
      </c>
      <c r="Y233" s="18">
        <f>SUM(Z233:AC233)</f>
        <v>0</v>
      </c>
      <c r="Z233" s="19">
        <v>0</v>
      </c>
      <c r="AA233" s="38">
        <v>0</v>
      </c>
      <c r="AB233" s="38">
        <v>0</v>
      </c>
      <c r="AC233" s="38">
        <v>0</v>
      </c>
      <c r="AD233" s="38">
        <f>SUM(AF233:AH233)</f>
        <v>0</v>
      </c>
      <c r="AE233" s="19">
        <v>0</v>
      </c>
      <c r="AF233" s="38">
        <v>0</v>
      </c>
      <c r="AG233" s="38">
        <v>0</v>
      </c>
      <c r="AH233" s="38">
        <v>0</v>
      </c>
      <c r="AI233" s="38">
        <f>SUM(AK233:AM233)</f>
        <v>0</v>
      </c>
      <c r="AJ233" s="19">
        <v>0</v>
      </c>
      <c r="AK233" s="38">
        <v>0</v>
      </c>
      <c r="AL233" s="38">
        <v>0</v>
      </c>
      <c r="AM233" s="38">
        <v>0</v>
      </c>
    </row>
    <row r="234" spans="1:39" s="2" customFormat="1" ht="42" customHeight="1" outlineLevel="2" x14ac:dyDescent="0.25">
      <c r="A234" s="138" t="s">
        <v>873</v>
      </c>
      <c r="B234" s="173" t="s">
        <v>872</v>
      </c>
      <c r="C234" s="174"/>
      <c r="D234" s="174"/>
      <c r="E234" s="20">
        <f>SUM(E235:E236)</f>
        <v>32485.7</v>
      </c>
      <c r="F234" s="20">
        <f t="shared" ref="F234:AM234" si="194">SUM(F235:F236)</f>
        <v>0</v>
      </c>
      <c r="G234" s="20">
        <f t="shared" si="194"/>
        <v>0</v>
      </c>
      <c r="H234" s="20">
        <f t="shared" si="194"/>
        <v>32160.799999999999</v>
      </c>
      <c r="I234" s="20">
        <f t="shared" si="194"/>
        <v>324.89999999999998</v>
      </c>
      <c r="J234" s="20">
        <f t="shared" si="194"/>
        <v>0</v>
      </c>
      <c r="K234" s="20">
        <f t="shared" si="194"/>
        <v>0</v>
      </c>
      <c r="L234" s="20">
        <f t="shared" si="194"/>
        <v>0</v>
      </c>
      <c r="M234" s="20">
        <f t="shared" si="194"/>
        <v>0</v>
      </c>
      <c r="N234" s="20">
        <f t="shared" si="194"/>
        <v>0</v>
      </c>
      <c r="O234" s="20">
        <f t="shared" si="194"/>
        <v>0</v>
      </c>
      <c r="P234" s="20">
        <f t="shared" si="194"/>
        <v>0</v>
      </c>
      <c r="Q234" s="20">
        <f t="shared" si="194"/>
        <v>0</v>
      </c>
      <c r="R234" s="20">
        <f t="shared" si="194"/>
        <v>0</v>
      </c>
      <c r="S234" s="20">
        <f t="shared" si="194"/>
        <v>0</v>
      </c>
      <c r="T234" s="20">
        <f t="shared" si="194"/>
        <v>32485.7</v>
      </c>
      <c r="U234" s="20">
        <f t="shared" si="194"/>
        <v>0</v>
      </c>
      <c r="V234" s="20">
        <f t="shared" si="194"/>
        <v>0</v>
      </c>
      <c r="W234" s="20">
        <f t="shared" si="194"/>
        <v>32160.799999999999</v>
      </c>
      <c r="X234" s="20">
        <f t="shared" si="194"/>
        <v>324.89999999999998</v>
      </c>
      <c r="Y234" s="20">
        <f t="shared" si="194"/>
        <v>0</v>
      </c>
      <c r="Z234" s="20">
        <f t="shared" si="194"/>
        <v>0</v>
      </c>
      <c r="AA234" s="20">
        <f t="shared" si="194"/>
        <v>0</v>
      </c>
      <c r="AB234" s="20">
        <f t="shared" si="194"/>
        <v>0</v>
      </c>
      <c r="AC234" s="20">
        <f t="shared" si="194"/>
        <v>0</v>
      </c>
      <c r="AD234" s="20">
        <f t="shared" si="194"/>
        <v>0</v>
      </c>
      <c r="AE234" s="20">
        <f t="shared" si="194"/>
        <v>0</v>
      </c>
      <c r="AF234" s="20">
        <f t="shared" si="194"/>
        <v>0</v>
      </c>
      <c r="AG234" s="20">
        <f t="shared" si="194"/>
        <v>0</v>
      </c>
      <c r="AH234" s="20">
        <f t="shared" si="194"/>
        <v>0</v>
      </c>
      <c r="AI234" s="20">
        <f t="shared" si="194"/>
        <v>0</v>
      </c>
      <c r="AJ234" s="20">
        <f t="shared" si="194"/>
        <v>0</v>
      </c>
      <c r="AK234" s="20">
        <f t="shared" si="194"/>
        <v>0</v>
      </c>
      <c r="AL234" s="20">
        <f t="shared" si="194"/>
        <v>0</v>
      </c>
      <c r="AM234" s="20">
        <f t="shared" si="194"/>
        <v>0</v>
      </c>
    </row>
    <row r="235" spans="1:39" s="2" customFormat="1" ht="47.25" outlineLevel="2" x14ac:dyDescent="0.25">
      <c r="A235" s="8" t="s">
        <v>874</v>
      </c>
      <c r="B235" s="103" t="s">
        <v>779</v>
      </c>
      <c r="C235" s="26" t="s">
        <v>32</v>
      </c>
      <c r="D235" s="31" t="s">
        <v>41</v>
      </c>
      <c r="E235" s="20">
        <f>SUM(F235:I235)</f>
        <v>2172.5</v>
      </c>
      <c r="F235" s="38"/>
      <c r="G235" s="38">
        <f t="shared" ref="G235:I236" si="195">L235+Q235+V235+AA235+AF235+AK235</f>
        <v>0</v>
      </c>
      <c r="H235" s="38">
        <f t="shared" si="195"/>
        <v>2150.8000000000002</v>
      </c>
      <c r="I235" s="38">
        <f t="shared" si="195"/>
        <v>21.700000000000003</v>
      </c>
      <c r="J235" s="18">
        <f>SUM(K235:N235)</f>
        <v>0</v>
      </c>
      <c r="K235" s="19">
        <v>0</v>
      </c>
      <c r="L235" s="38">
        <v>0</v>
      </c>
      <c r="M235" s="19">
        <v>0</v>
      </c>
      <c r="N235" s="38">
        <v>0</v>
      </c>
      <c r="O235" s="18">
        <f>SUM(P235:S235)</f>
        <v>0</v>
      </c>
      <c r="P235" s="19">
        <v>0</v>
      </c>
      <c r="Q235" s="38">
        <v>0</v>
      </c>
      <c r="R235" s="38">
        <v>0</v>
      </c>
      <c r="S235" s="38">
        <v>0</v>
      </c>
      <c r="T235" s="18">
        <f>SUM(U235:X235)</f>
        <v>2172.5</v>
      </c>
      <c r="U235" s="19">
        <v>0</v>
      </c>
      <c r="V235" s="38">
        <v>0</v>
      </c>
      <c r="W235" s="38">
        <f>2537.9-387.1</f>
        <v>2150.8000000000002</v>
      </c>
      <c r="X235" s="38">
        <f>25.6-3.9</f>
        <v>21.700000000000003</v>
      </c>
      <c r="Y235" s="38">
        <f>AB235+AC235</f>
        <v>0</v>
      </c>
      <c r="Z235" s="19"/>
      <c r="AA235" s="38">
        <v>0</v>
      </c>
      <c r="AB235" s="38">
        <v>0</v>
      </c>
      <c r="AC235" s="38">
        <v>0</v>
      </c>
      <c r="AD235" s="38">
        <f>SUM(AF235:AH235)</f>
        <v>0</v>
      </c>
      <c r="AE235" s="19">
        <v>0</v>
      </c>
      <c r="AF235" s="38">
        <v>0</v>
      </c>
      <c r="AG235" s="38">
        <v>0</v>
      </c>
      <c r="AH235" s="38">
        <v>0</v>
      </c>
      <c r="AI235" s="38">
        <f>SUM(AK235:AM235)</f>
        <v>0</v>
      </c>
      <c r="AJ235" s="19">
        <v>0</v>
      </c>
      <c r="AK235" s="38">
        <v>0</v>
      </c>
      <c r="AL235" s="38">
        <v>0</v>
      </c>
      <c r="AM235" s="38">
        <v>0</v>
      </c>
    </row>
    <row r="236" spans="1:39" s="2" customFormat="1" ht="47.25" outlineLevel="2" x14ac:dyDescent="0.25">
      <c r="A236" s="8" t="s">
        <v>875</v>
      </c>
      <c r="B236" s="103" t="s">
        <v>792</v>
      </c>
      <c r="C236" s="26" t="s">
        <v>32</v>
      </c>
      <c r="D236" s="31" t="s">
        <v>41</v>
      </c>
      <c r="E236" s="20">
        <f>SUM(F236:I236)</f>
        <v>30313.200000000001</v>
      </c>
      <c r="F236" s="38"/>
      <c r="G236" s="38">
        <f t="shared" si="195"/>
        <v>0</v>
      </c>
      <c r="H236" s="38">
        <f t="shared" si="195"/>
        <v>30010</v>
      </c>
      <c r="I236" s="38">
        <f t="shared" si="195"/>
        <v>303.2</v>
      </c>
      <c r="J236" s="18">
        <f>SUM(K236:N236)</f>
        <v>0</v>
      </c>
      <c r="K236" s="19">
        <v>0</v>
      </c>
      <c r="L236" s="38">
        <v>0</v>
      </c>
      <c r="M236" s="19">
        <v>0</v>
      </c>
      <c r="N236" s="38">
        <v>0</v>
      </c>
      <c r="O236" s="18">
        <f>SUM(P236:S236)</f>
        <v>0</v>
      </c>
      <c r="P236" s="19">
        <v>0</v>
      </c>
      <c r="Q236" s="38">
        <v>0</v>
      </c>
      <c r="R236" s="38">
        <v>0</v>
      </c>
      <c r="S236" s="38">
        <v>0</v>
      </c>
      <c r="T236" s="18">
        <f>SUM(U236:X236)</f>
        <v>30313.200000000001</v>
      </c>
      <c r="U236" s="19">
        <v>0</v>
      </c>
      <c r="V236" s="38">
        <v>0</v>
      </c>
      <c r="W236" s="38">
        <v>30010</v>
      </c>
      <c r="X236" s="38">
        <v>303.2</v>
      </c>
      <c r="Y236" s="38">
        <f>AB236+AC236</f>
        <v>0</v>
      </c>
      <c r="Z236" s="19"/>
      <c r="AA236" s="38">
        <v>0</v>
      </c>
      <c r="AB236" s="38">
        <v>0</v>
      </c>
      <c r="AC236" s="38">
        <v>0</v>
      </c>
      <c r="AD236" s="38">
        <f>SUM(AF236:AH236)</f>
        <v>0</v>
      </c>
      <c r="AE236" s="19">
        <v>0</v>
      </c>
      <c r="AF236" s="38">
        <v>0</v>
      </c>
      <c r="AG236" s="38">
        <v>0</v>
      </c>
      <c r="AH236" s="38">
        <v>0</v>
      </c>
      <c r="AI236" s="38">
        <f>SUM(AK236:AM236)</f>
        <v>0</v>
      </c>
      <c r="AJ236" s="19">
        <v>0</v>
      </c>
      <c r="AK236" s="38">
        <v>0</v>
      </c>
      <c r="AL236" s="38">
        <v>0</v>
      </c>
      <c r="AM236" s="38">
        <v>0</v>
      </c>
    </row>
    <row r="237" spans="1:39" s="5" customFormat="1" ht="43.5" customHeight="1" x14ac:dyDescent="0.25">
      <c r="A237" s="138">
        <v>4</v>
      </c>
      <c r="B237" s="171" t="s">
        <v>4</v>
      </c>
      <c r="C237" s="172"/>
      <c r="D237" s="172"/>
      <c r="E237" s="18">
        <f>E238+E263</f>
        <v>285380.9157056</v>
      </c>
      <c r="F237" s="18">
        <f t="shared" ref="F237:AM237" si="196">F238+F263</f>
        <v>0</v>
      </c>
      <c r="G237" s="18">
        <f t="shared" si="196"/>
        <v>32207.7</v>
      </c>
      <c r="H237" s="18">
        <f t="shared" si="196"/>
        <v>252666.31570560002</v>
      </c>
      <c r="I237" s="18">
        <f t="shared" si="196"/>
        <v>506.90000000000003</v>
      </c>
      <c r="J237" s="18">
        <f t="shared" si="196"/>
        <v>117589.90000000002</v>
      </c>
      <c r="K237" s="18">
        <f t="shared" si="196"/>
        <v>0</v>
      </c>
      <c r="L237" s="18">
        <f t="shared" si="196"/>
        <v>10000</v>
      </c>
      <c r="M237" s="18">
        <f t="shared" si="196"/>
        <v>107159.80000000002</v>
      </c>
      <c r="N237" s="18">
        <f t="shared" si="196"/>
        <v>430.1</v>
      </c>
      <c r="O237" s="18">
        <f t="shared" si="196"/>
        <v>124278.2</v>
      </c>
      <c r="P237" s="18">
        <f t="shared" si="196"/>
        <v>0</v>
      </c>
      <c r="Q237" s="18">
        <f t="shared" si="196"/>
        <v>10000</v>
      </c>
      <c r="R237" s="18">
        <f t="shared" si="196"/>
        <v>114217.59999999999</v>
      </c>
      <c r="S237" s="18">
        <f t="shared" si="196"/>
        <v>60.6</v>
      </c>
      <c r="T237" s="18">
        <f t="shared" si="196"/>
        <v>38170.700000000004</v>
      </c>
      <c r="U237" s="18">
        <f t="shared" si="196"/>
        <v>0</v>
      </c>
      <c r="V237" s="18">
        <f t="shared" si="196"/>
        <v>12207.7</v>
      </c>
      <c r="W237" s="18">
        <f t="shared" si="196"/>
        <v>25946.800000000003</v>
      </c>
      <c r="X237" s="18">
        <f t="shared" si="196"/>
        <v>16.2</v>
      </c>
      <c r="Y237" s="18">
        <f t="shared" si="196"/>
        <v>1734.5157056</v>
      </c>
      <c r="Z237" s="18">
        <f t="shared" si="196"/>
        <v>0</v>
      </c>
      <c r="AA237" s="18">
        <f t="shared" si="196"/>
        <v>0</v>
      </c>
      <c r="AB237" s="18">
        <f t="shared" si="196"/>
        <v>1734.5157056</v>
      </c>
      <c r="AC237" s="18">
        <f t="shared" si="196"/>
        <v>0</v>
      </c>
      <c r="AD237" s="18">
        <f t="shared" si="196"/>
        <v>1803.8000000000002</v>
      </c>
      <c r="AE237" s="18">
        <f t="shared" si="196"/>
        <v>0</v>
      </c>
      <c r="AF237" s="18">
        <f t="shared" si="196"/>
        <v>0</v>
      </c>
      <c r="AG237" s="18">
        <f t="shared" si="196"/>
        <v>1803.8000000000002</v>
      </c>
      <c r="AH237" s="18">
        <f t="shared" si="196"/>
        <v>0</v>
      </c>
      <c r="AI237" s="18">
        <f t="shared" si="196"/>
        <v>1803.8000000000002</v>
      </c>
      <c r="AJ237" s="18">
        <f t="shared" si="196"/>
        <v>0</v>
      </c>
      <c r="AK237" s="18">
        <f t="shared" si="196"/>
        <v>0</v>
      </c>
      <c r="AL237" s="18">
        <f t="shared" si="196"/>
        <v>1803.8000000000002</v>
      </c>
      <c r="AM237" s="18">
        <f t="shared" si="196"/>
        <v>0</v>
      </c>
    </row>
    <row r="238" spans="1:39" s="5" customFormat="1" ht="40.5" customHeight="1" outlineLevel="1" x14ac:dyDescent="0.25">
      <c r="A238" s="138" t="s">
        <v>184</v>
      </c>
      <c r="B238" s="173" t="s">
        <v>15</v>
      </c>
      <c r="C238" s="174"/>
      <c r="D238" s="174"/>
      <c r="E238" s="18">
        <f>SUM(E239:E262)</f>
        <v>214764.3</v>
      </c>
      <c r="F238" s="18">
        <f t="shared" ref="F238:AM238" si="197">SUM(F239:F262)</f>
        <v>0</v>
      </c>
      <c r="G238" s="18">
        <f t="shared" si="197"/>
        <v>0</v>
      </c>
      <c r="H238" s="18">
        <f t="shared" si="197"/>
        <v>214677.80000000002</v>
      </c>
      <c r="I238" s="18">
        <f t="shared" si="197"/>
        <v>86.5</v>
      </c>
      <c r="J238" s="18">
        <f t="shared" si="197"/>
        <v>79961.000000000029</v>
      </c>
      <c r="K238" s="18">
        <f t="shared" si="197"/>
        <v>0</v>
      </c>
      <c r="L238" s="18">
        <f t="shared" si="197"/>
        <v>0</v>
      </c>
      <c r="M238" s="18">
        <f t="shared" si="197"/>
        <v>79879.000000000015</v>
      </c>
      <c r="N238" s="18">
        <f t="shared" si="197"/>
        <v>82</v>
      </c>
      <c r="O238" s="18">
        <f t="shared" si="197"/>
        <v>111851.9</v>
      </c>
      <c r="P238" s="18">
        <f t="shared" si="197"/>
        <v>0</v>
      </c>
      <c r="Q238" s="18">
        <f t="shared" si="197"/>
        <v>0</v>
      </c>
      <c r="R238" s="18">
        <f t="shared" si="197"/>
        <v>111847.4</v>
      </c>
      <c r="S238" s="18">
        <f t="shared" si="197"/>
        <v>4.5</v>
      </c>
      <c r="T238" s="18">
        <f t="shared" si="197"/>
        <v>22951.4</v>
      </c>
      <c r="U238" s="18">
        <f t="shared" si="197"/>
        <v>0</v>
      </c>
      <c r="V238" s="18">
        <f t="shared" si="197"/>
        <v>0</v>
      </c>
      <c r="W238" s="18">
        <f t="shared" si="197"/>
        <v>22951.4</v>
      </c>
      <c r="X238" s="18">
        <f t="shared" si="197"/>
        <v>0</v>
      </c>
      <c r="Y238" s="18">
        <f t="shared" si="197"/>
        <v>0</v>
      </c>
      <c r="Z238" s="18">
        <f t="shared" si="197"/>
        <v>0</v>
      </c>
      <c r="AA238" s="18">
        <f t="shared" si="197"/>
        <v>0</v>
      </c>
      <c r="AB238" s="18">
        <f t="shared" si="197"/>
        <v>0</v>
      </c>
      <c r="AC238" s="18">
        <f t="shared" si="197"/>
        <v>0</v>
      </c>
      <c r="AD238" s="18">
        <f t="shared" si="197"/>
        <v>0</v>
      </c>
      <c r="AE238" s="18">
        <f t="shared" si="197"/>
        <v>0</v>
      </c>
      <c r="AF238" s="18">
        <f t="shared" si="197"/>
        <v>0</v>
      </c>
      <c r="AG238" s="18">
        <f t="shared" si="197"/>
        <v>0</v>
      </c>
      <c r="AH238" s="18">
        <f t="shared" si="197"/>
        <v>0</v>
      </c>
      <c r="AI238" s="18">
        <f t="shared" si="197"/>
        <v>0</v>
      </c>
      <c r="AJ238" s="18">
        <f t="shared" si="197"/>
        <v>0</v>
      </c>
      <c r="AK238" s="18">
        <f t="shared" si="197"/>
        <v>0</v>
      </c>
      <c r="AL238" s="18">
        <f t="shared" si="197"/>
        <v>0</v>
      </c>
      <c r="AM238" s="18">
        <f t="shared" si="197"/>
        <v>0</v>
      </c>
    </row>
    <row r="239" spans="1:39" s="2" customFormat="1" ht="110.25" outlineLevel="2" x14ac:dyDescent="0.25">
      <c r="A239" s="8" t="s">
        <v>89</v>
      </c>
      <c r="B239" s="32" t="s">
        <v>16</v>
      </c>
      <c r="C239" s="26" t="s">
        <v>32</v>
      </c>
      <c r="D239" s="26" t="s">
        <v>377</v>
      </c>
      <c r="E239" s="20">
        <f t="shared" ref="E239:E251" si="198">SUM(F239:I239)</f>
        <v>162457.09999999998</v>
      </c>
      <c r="F239" s="38">
        <f t="shared" ref="F239:F248" si="199">K239+P239+U239</f>
        <v>0</v>
      </c>
      <c r="G239" s="38">
        <f>L239+Q239+V239+AA239+AF239+AK239</f>
        <v>0</v>
      </c>
      <c r="H239" s="38">
        <f>M239+R239+W239+AB239+AG239+AL239</f>
        <v>162457.09999999998</v>
      </c>
      <c r="I239" s="38">
        <f t="shared" ref="I239:I259" si="200">N239+S239+X239+AC239+AH239+AM239</f>
        <v>0</v>
      </c>
      <c r="J239" s="18">
        <f t="shared" ref="J239:J259" si="201">SUM(K239:N239)</f>
        <v>58219</v>
      </c>
      <c r="K239" s="19">
        <v>0</v>
      </c>
      <c r="L239" s="38">
        <v>0</v>
      </c>
      <c r="M239" s="19">
        <f>127705-69486</f>
        <v>58219</v>
      </c>
      <c r="N239" s="38">
        <v>0</v>
      </c>
      <c r="O239" s="18">
        <f>SUM(Q239:S239)</f>
        <v>95720.3</v>
      </c>
      <c r="P239" s="19">
        <v>0</v>
      </c>
      <c r="Q239" s="38">
        <v>0</v>
      </c>
      <c r="R239" s="19">
        <f>69486+34752-8517.7</f>
        <v>95720.3</v>
      </c>
      <c r="S239" s="38">
        <v>0</v>
      </c>
      <c r="T239" s="18">
        <f t="shared" ref="T239:T259" si="202">SUM(U239:X239)</f>
        <v>8517.7999999999993</v>
      </c>
      <c r="U239" s="19">
        <v>0</v>
      </c>
      <c r="V239" s="38">
        <v>0</v>
      </c>
      <c r="W239" s="38">
        <v>8517.7999999999993</v>
      </c>
      <c r="X239" s="38">
        <v>0</v>
      </c>
      <c r="Y239" s="18">
        <f t="shared" ref="Y239:Y259" si="203">SUM(Z239:AC239)</f>
        <v>0</v>
      </c>
      <c r="Z239" s="19">
        <v>0</v>
      </c>
      <c r="AA239" s="38">
        <v>0</v>
      </c>
      <c r="AB239" s="38">
        <v>0</v>
      </c>
      <c r="AC239" s="38">
        <v>0</v>
      </c>
      <c r="AD239" s="18">
        <f t="shared" ref="AD239:AD259" si="204">SUM(AE239:AH239)</f>
        <v>0</v>
      </c>
      <c r="AE239" s="19">
        <v>0</v>
      </c>
      <c r="AF239" s="38">
        <v>0</v>
      </c>
      <c r="AG239" s="38">
        <v>0</v>
      </c>
      <c r="AH239" s="38">
        <v>0</v>
      </c>
      <c r="AI239" s="18">
        <f t="shared" ref="AI239:AI259" si="205">SUM(AJ239:AM239)</f>
        <v>0</v>
      </c>
      <c r="AJ239" s="19">
        <v>0</v>
      </c>
      <c r="AK239" s="38">
        <v>0</v>
      </c>
      <c r="AL239" s="38">
        <v>0</v>
      </c>
      <c r="AM239" s="38">
        <v>0</v>
      </c>
    </row>
    <row r="240" spans="1:39" s="2" customFormat="1" ht="78.75" outlineLevel="2" x14ac:dyDescent="0.25">
      <c r="A240" s="8" t="s">
        <v>90</v>
      </c>
      <c r="B240" s="32" t="s">
        <v>568</v>
      </c>
      <c r="C240" s="26" t="s">
        <v>32</v>
      </c>
      <c r="D240" s="26" t="s">
        <v>118</v>
      </c>
      <c r="E240" s="20">
        <f>SUM(F240:I240)</f>
        <v>1264.2</v>
      </c>
      <c r="F240" s="38">
        <f>K240+P240+U240</f>
        <v>0</v>
      </c>
      <c r="G240" s="38">
        <f>L240+Q240+V240+AA240+AF240+AK240</f>
        <v>0</v>
      </c>
      <c r="H240" s="38">
        <f>M240+R240+W240+AB240+AG240+AL240</f>
        <v>1264.2</v>
      </c>
      <c r="I240" s="38">
        <f>N240+S240+X240+AC240+AH240+AM240</f>
        <v>0</v>
      </c>
      <c r="J240" s="18">
        <f>SUM(K240:N240)</f>
        <v>0</v>
      </c>
      <c r="K240" s="19">
        <v>0</v>
      </c>
      <c r="L240" s="38">
        <v>0</v>
      </c>
      <c r="M240" s="19">
        <v>0</v>
      </c>
      <c r="N240" s="38">
        <v>0</v>
      </c>
      <c r="O240" s="18">
        <f>SUM(Q240:S240)</f>
        <v>1264.2</v>
      </c>
      <c r="P240" s="19">
        <v>0</v>
      </c>
      <c r="Q240" s="38">
        <v>0</v>
      </c>
      <c r="R240" s="19">
        <v>1264.2</v>
      </c>
      <c r="S240" s="38">
        <v>0</v>
      </c>
      <c r="T240" s="18">
        <f>SUM(U240:X240)</f>
        <v>0</v>
      </c>
      <c r="U240" s="19">
        <v>0</v>
      </c>
      <c r="V240" s="38">
        <v>0</v>
      </c>
      <c r="W240" s="38">
        <v>0</v>
      </c>
      <c r="X240" s="38">
        <v>0</v>
      </c>
      <c r="Y240" s="18">
        <f>SUM(Z240:AC240)</f>
        <v>0</v>
      </c>
      <c r="Z240" s="19">
        <v>0</v>
      </c>
      <c r="AA240" s="38">
        <v>0</v>
      </c>
      <c r="AB240" s="38">
        <v>0</v>
      </c>
      <c r="AC240" s="38">
        <v>0</v>
      </c>
      <c r="AD240" s="18">
        <f>SUM(AE240:AH240)</f>
        <v>0</v>
      </c>
      <c r="AE240" s="19">
        <v>0</v>
      </c>
      <c r="AF240" s="38">
        <v>0</v>
      </c>
      <c r="AG240" s="38">
        <v>0</v>
      </c>
      <c r="AH240" s="38">
        <v>0</v>
      </c>
      <c r="AI240" s="18">
        <f>SUM(AJ240:AM240)</f>
        <v>0</v>
      </c>
      <c r="AJ240" s="19">
        <v>0</v>
      </c>
      <c r="AK240" s="38">
        <v>0</v>
      </c>
      <c r="AL240" s="38">
        <v>0</v>
      </c>
      <c r="AM240" s="38">
        <v>0</v>
      </c>
    </row>
    <row r="241" spans="1:39" s="2" customFormat="1" ht="63" outlineLevel="2" x14ac:dyDescent="0.25">
      <c r="A241" s="8" t="s">
        <v>91</v>
      </c>
      <c r="B241" s="32" t="s">
        <v>17</v>
      </c>
      <c r="C241" s="26" t="s">
        <v>31</v>
      </c>
      <c r="D241" s="26" t="s">
        <v>8</v>
      </c>
      <c r="E241" s="20">
        <f t="shared" si="198"/>
        <v>1374.4</v>
      </c>
      <c r="F241" s="38">
        <f t="shared" si="199"/>
        <v>0</v>
      </c>
      <c r="G241" s="38">
        <f t="shared" ref="G241:G259" si="206">L241+Q241+V241+AA241+AF241+AK241</f>
        <v>0</v>
      </c>
      <c r="H241" s="38">
        <f t="shared" ref="H241:H259" si="207">M241+R241+W241+AB241+AG241+AL241</f>
        <v>1374.4</v>
      </c>
      <c r="I241" s="38">
        <f t="shared" si="200"/>
        <v>0</v>
      </c>
      <c r="J241" s="18">
        <f t="shared" si="201"/>
        <v>1374.4</v>
      </c>
      <c r="K241" s="19">
        <v>0</v>
      </c>
      <c r="L241" s="38">
        <v>0</v>
      </c>
      <c r="M241" s="19">
        <v>1374.4</v>
      </c>
      <c r="N241" s="38">
        <v>0</v>
      </c>
      <c r="O241" s="18">
        <f t="shared" ref="O241:O259" si="208">SUM(Q241:S241)</f>
        <v>0</v>
      </c>
      <c r="P241" s="19">
        <v>0</v>
      </c>
      <c r="Q241" s="38">
        <v>0</v>
      </c>
      <c r="R241" s="19">
        <v>0</v>
      </c>
      <c r="S241" s="38">
        <v>0</v>
      </c>
      <c r="T241" s="18">
        <f t="shared" si="202"/>
        <v>0</v>
      </c>
      <c r="U241" s="19">
        <v>0</v>
      </c>
      <c r="V241" s="38">
        <v>0</v>
      </c>
      <c r="W241" s="38">
        <v>0</v>
      </c>
      <c r="X241" s="38">
        <v>0</v>
      </c>
      <c r="Y241" s="18">
        <f t="shared" si="203"/>
        <v>0</v>
      </c>
      <c r="Z241" s="19">
        <v>0</v>
      </c>
      <c r="AA241" s="38">
        <v>0</v>
      </c>
      <c r="AB241" s="38">
        <v>0</v>
      </c>
      <c r="AC241" s="38">
        <v>0</v>
      </c>
      <c r="AD241" s="18">
        <f t="shared" si="204"/>
        <v>0</v>
      </c>
      <c r="AE241" s="19">
        <v>0</v>
      </c>
      <c r="AF241" s="38">
        <v>0</v>
      </c>
      <c r="AG241" s="38">
        <v>0</v>
      </c>
      <c r="AH241" s="38">
        <v>0</v>
      </c>
      <c r="AI241" s="18">
        <f t="shared" si="205"/>
        <v>0</v>
      </c>
      <c r="AJ241" s="19">
        <v>0</v>
      </c>
      <c r="AK241" s="38">
        <v>0</v>
      </c>
      <c r="AL241" s="38">
        <v>0</v>
      </c>
      <c r="AM241" s="38">
        <v>0</v>
      </c>
    </row>
    <row r="242" spans="1:39" s="2" customFormat="1" ht="78.75" outlineLevel="2" x14ac:dyDescent="0.25">
      <c r="A242" s="8" t="s">
        <v>92</v>
      </c>
      <c r="B242" s="32" t="s">
        <v>18</v>
      </c>
      <c r="C242" s="26" t="s">
        <v>32</v>
      </c>
      <c r="D242" s="26" t="s">
        <v>8</v>
      </c>
      <c r="E242" s="20">
        <f t="shared" si="198"/>
        <v>1412.8</v>
      </c>
      <c r="F242" s="38">
        <f t="shared" si="199"/>
        <v>0</v>
      </c>
      <c r="G242" s="38">
        <f t="shared" si="206"/>
        <v>0</v>
      </c>
      <c r="H242" s="38">
        <f t="shared" si="207"/>
        <v>1412.8</v>
      </c>
      <c r="I242" s="38">
        <f t="shared" si="200"/>
        <v>0</v>
      </c>
      <c r="J242" s="18">
        <f t="shared" si="201"/>
        <v>0</v>
      </c>
      <c r="K242" s="19">
        <v>0</v>
      </c>
      <c r="L242" s="38">
        <v>0</v>
      </c>
      <c r="M242" s="19">
        <v>0</v>
      </c>
      <c r="N242" s="38">
        <v>0</v>
      </c>
      <c r="O242" s="18">
        <f t="shared" si="208"/>
        <v>1412.8</v>
      </c>
      <c r="P242" s="19">
        <v>0</v>
      </c>
      <c r="Q242" s="38">
        <v>0</v>
      </c>
      <c r="R242" s="19">
        <f>1340+72.8</f>
        <v>1412.8</v>
      </c>
      <c r="S242" s="38">
        <v>0</v>
      </c>
      <c r="T242" s="18">
        <f t="shared" si="202"/>
        <v>0</v>
      </c>
      <c r="U242" s="19">
        <v>0</v>
      </c>
      <c r="V242" s="38">
        <v>0</v>
      </c>
      <c r="W242" s="38">
        <v>0</v>
      </c>
      <c r="X242" s="38">
        <v>0</v>
      </c>
      <c r="Y242" s="18">
        <f t="shared" si="203"/>
        <v>0</v>
      </c>
      <c r="Z242" s="19">
        <v>0</v>
      </c>
      <c r="AA242" s="38">
        <v>0</v>
      </c>
      <c r="AB242" s="38">
        <v>0</v>
      </c>
      <c r="AC242" s="38">
        <v>0</v>
      </c>
      <c r="AD242" s="18">
        <f t="shared" si="204"/>
        <v>0</v>
      </c>
      <c r="AE242" s="19">
        <v>0</v>
      </c>
      <c r="AF242" s="38">
        <v>0</v>
      </c>
      <c r="AG242" s="38">
        <v>0</v>
      </c>
      <c r="AH242" s="38">
        <v>0</v>
      </c>
      <c r="AI242" s="18">
        <f t="shared" si="205"/>
        <v>0</v>
      </c>
      <c r="AJ242" s="19">
        <v>0</v>
      </c>
      <c r="AK242" s="38">
        <v>0</v>
      </c>
      <c r="AL242" s="38">
        <v>0</v>
      </c>
      <c r="AM242" s="38">
        <v>0</v>
      </c>
    </row>
    <row r="243" spans="1:39" s="2" customFormat="1" ht="47.25" outlineLevel="2" x14ac:dyDescent="0.25">
      <c r="A243" s="8" t="s">
        <v>93</v>
      </c>
      <c r="B243" s="32" t="s">
        <v>19</v>
      </c>
      <c r="C243" s="26" t="s">
        <v>31</v>
      </c>
      <c r="D243" s="26" t="s">
        <v>8</v>
      </c>
      <c r="E243" s="20">
        <f t="shared" si="198"/>
        <v>1448</v>
      </c>
      <c r="F243" s="38">
        <f t="shared" si="199"/>
        <v>0</v>
      </c>
      <c r="G243" s="38">
        <f t="shared" si="206"/>
        <v>0</v>
      </c>
      <c r="H243" s="38">
        <f t="shared" si="207"/>
        <v>1448</v>
      </c>
      <c r="I243" s="38">
        <f t="shared" si="200"/>
        <v>0</v>
      </c>
      <c r="J243" s="18">
        <f t="shared" si="201"/>
        <v>1448</v>
      </c>
      <c r="K243" s="19">
        <v>0</v>
      </c>
      <c r="L243" s="38">
        <v>0</v>
      </c>
      <c r="M243" s="19">
        <v>1448</v>
      </c>
      <c r="N243" s="38">
        <v>0</v>
      </c>
      <c r="O243" s="18">
        <f t="shared" si="208"/>
        <v>0</v>
      </c>
      <c r="P243" s="19">
        <v>0</v>
      </c>
      <c r="Q243" s="38">
        <v>0</v>
      </c>
      <c r="R243" s="19">
        <v>0</v>
      </c>
      <c r="S243" s="38">
        <v>0</v>
      </c>
      <c r="T243" s="18">
        <f t="shared" si="202"/>
        <v>0</v>
      </c>
      <c r="U243" s="19">
        <v>0</v>
      </c>
      <c r="V243" s="38">
        <v>0</v>
      </c>
      <c r="W243" s="38">
        <v>0</v>
      </c>
      <c r="X243" s="38">
        <v>0</v>
      </c>
      <c r="Y243" s="18">
        <f t="shared" si="203"/>
        <v>0</v>
      </c>
      <c r="Z243" s="19">
        <v>0</v>
      </c>
      <c r="AA243" s="38">
        <v>0</v>
      </c>
      <c r="AB243" s="38">
        <v>0</v>
      </c>
      <c r="AC243" s="38">
        <v>0</v>
      </c>
      <c r="AD243" s="18">
        <f t="shared" si="204"/>
        <v>0</v>
      </c>
      <c r="AE243" s="19">
        <v>0</v>
      </c>
      <c r="AF243" s="38">
        <v>0</v>
      </c>
      <c r="AG243" s="38">
        <v>0</v>
      </c>
      <c r="AH243" s="38">
        <v>0</v>
      </c>
      <c r="AI243" s="18">
        <f t="shared" si="205"/>
        <v>0</v>
      </c>
      <c r="AJ243" s="19">
        <v>0</v>
      </c>
      <c r="AK243" s="38">
        <v>0</v>
      </c>
      <c r="AL243" s="38">
        <v>0</v>
      </c>
      <c r="AM243" s="38">
        <v>0</v>
      </c>
    </row>
    <row r="244" spans="1:39" s="2" customFormat="1" ht="78.75" outlineLevel="2" x14ac:dyDescent="0.25">
      <c r="A244" s="8" t="s">
        <v>94</v>
      </c>
      <c r="B244" s="32" t="s">
        <v>20</v>
      </c>
      <c r="C244" s="26" t="s">
        <v>32</v>
      </c>
      <c r="D244" s="26" t="s">
        <v>8</v>
      </c>
      <c r="E244" s="20">
        <f t="shared" si="198"/>
        <v>1421.7</v>
      </c>
      <c r="F244" s="38">
        <f t="shared" si="199"/>
        <v>0</v>
      </c>
      <c r="G244" s="38">
        <f t="shared" si="206"/>
        <v>0</v>
      </c>
      <c r="H244" s="38">
        <f t="shared" si="207"/>
        <v>1421.7</v>
      </c>
      <c r="I244" s="38">
        <f t="shared" si="200"/>
        <v>0</v>
      </c>
      <c r="J244" s="18">
        <f t="shared" si="201"/>
        <v>0</v>
      </c>
      <c r="K244" s="19">
        <v>0</v>
      </c>
      <c r="L244" s="38">
        <v>0</v>
      </c>
      <c r="M244" s="19">
        <v>0</v>
      </c>
      <c r="N244" s="38">
        <v>0</v>
      </c>
      <c r="O244" s="18">
        <f t="shared" si="208"/>
        <v>1421.7</v>
      </c>
      <c r="P244" s="19">
        <v>0</v>
      </c>
      <c r="Q244" s="38">
        <v>0</v>
      </c>
      <c r="R244" s="19">
        <f>1347+74.7</f>
        <v>1421.7</v>
      </c>
      <c r="S244" s="38">
        <v>0</v>
      </c>
      <c r="T244" s="18">
        <f t="shared" si="202"/>
        <v>0</v>
      </c>
      <c r="U244" s="19">
        <v>0</v>
      </c>
      <c r="V244" s="38">
        <v>0</v>
      </c>
      <c r="W244" s="38">
        <v>0</v>
      </c>
      <c r="X244" s="38">
        <v>0</v>
      </c>
      <c r="Y244" s="18">
        <f t="shared" si="203"/>
        <v>0</v>
      </c>
      <c r="Z244" s="19">
        <v>0</v>
      </c>
      <c r="AA244" s="38">
        <v>0</v>
      </c>
      <c r="AB244" s="38">
        <v>0</v>
      </c>
      <c r="AC244" s="38">
        <v>0</v>
      </c>
      <c r="AD244" s="18">
        <f t="shared" si="204"/>
        <v>0</v>
      </c>
      <c r="AE244" s="19">
        <v>0</v>
      </c>
      <c r="AF244" s="38">
        <v>0</v>
      </c>
      <c r="AG244" s="38">
        <v>0</v>
      </c>
      <c r="AH244" s="38">
        <v>0</v>
      </c>
      <c r="AI244" s="18">
        <f t="shared" si="205"/>
        <v>0</v>
      </c>
      <c r="AJ244" s="19">
        <v>0</v>
      </c>
      <c r="AK244" s="38">
        <v>0</v>
      </c>
      <c r="AL244" s="38">
        <v>0</v>
      </c>
      <c r="AM244" s="38">
        <v>0</v>
      </c>
    </row>
    <row r="245" spans="1:39" s="2" customFormat="1" ht="78.75" outlineLevel="2" x14ac:dyDescent="0.25">
      <c r="A245" s="8" t="s">
        <v>95</v>
      </c>
      <c r="B245" s="32" t="s">
        <v>28</v>
      </c>
      <c r="C245" s="26" t="s">
        <v>377</v>
      </c>
      <c r="D245" s="26" t="s">
        <v>118</v>
      </c>
      <c r="E245" s="20">
        <f t="shared" si="198"/>
        <v>2486.9</v>
      </c>
      <c r="F245" s="38">
        <f t="shared" si="199"/>
        <v>0</v>
      </c>
      <c r="G245" s="38">
        <f t="shared" si="206"/>
        <v>0</v>
      </c>
      <c r="H245" s="38">
        <f t="shared" si="207"/>
        <v>2486.9</v>
      </c>
      <c r="I245" s="38">
        <f t="shared" si="200"/>
        <v>0</v>
      </c>
      <c r="J245" s="18">
        <f t="shared" si="201"/>
        <v>0</v>
      </c>
      <c r="K245" s="19">
        <v>0</v>
      </c>
      <c r="L245" s="38">
        <v>0</v>
      </c>
      <c r="M245" s="19">
        <v>0</v>
      </c>
      <c r="N245" s="38">
        <v>0</v>
      </c>
      <c r="O245" s="18">
        <f t="shared" si="208"/>
        <v>2486.9</v>
      </c>
      <c r="P245" s="19">
        <v>0</v>
      </c>
      <c r="Q245" s="38">
        <v>0</v>
      </c>
      <c r="R245" s="19">
        <v>2486.9</v>
      </c>
      <c r="S245" s="38">
        <v>0</v>
      </c>
      <c r="T245" s="18">
        <f t="shared" si="202"/>
        <v>0</v>
      </c>
      <c r="U245" s="19">
        <v>0</v>
      </c>
      <c r="V245" s="38">
        <v>0</v>
      </c>
      <c r="W245" s="38">
        <v>0</v>
      </c>
      <c r="X245" s="38">
        <v>0</v>
      </c>
      <c r="Y245" s="18">
        <f t="shared" si="203"/>
        <v>0</v>
      </c>
      <c r="Z245" s="19">
        <v>0</v>
      </c>
      <c r="AA245" s="38">
        <v>0</v>
      </c>
      <c r="AB245" s="38">
        <v>0</v>
      </c>
      <c r="AC245" s="38">
        <v>0</v>
      </c>
      <c r="AD245" s="18">
        <f t="shared" si="204"/>
        <v>0</v>
      </c>
      <c r="AE245" s="19">
        <v>0</v>
      </c>
      <c r="AF245" s="38">
        <v>0</v>
      </c>
      <c r="AG245" s="38">
        <v>0</v>
      </c>
      <c r="AH245" s="38">
        <v>0</v>
      </c>
      <c r="AI245" s="18">
        <f t="shared" si="205"/>
        <v>0</v>
      </c>
      <c r="AJ245" s="19">
        <v>0</v>
      </c>
      <c r="AK245" s="38">
        <v>0</v>
      </c>
      <c r="AL245" s="38">
        <v>0</v>
      </c>
      <c r="AM245" s="38">
        <v>0</v>
      </c>
    </row>
    <row r="246" spans="1:39" s="2" customFormat="1" ht="141" customHeight="1" outlineLevel="2" x14ac:dyDescent="0.25">
      <c r="A246" s="92" t="s">
        <v>96</v>
      </c>
      <c r="B246" s="118" t="s">
        <v>260</v>
      </c>
      <c r="C246" s="136" t="s">
        <v>32</v>
      </c>
      <c r="D246" s="26" t="s">
        <v>738</v>
      </c>
      <c r="E246" s="20">
        <f t="shared" si="198"/>
        <v>7488.8000000000084</v>
      </c>
      <c r="F246" s="38">
        <f t="shared" si="199"/>
        <v>0</v>
      </c>
      <c r="G246" s="38">
        <f t="shared" si="206"/>
        <v>0</v>
      </c>
      <c r="H246" s="38">
        <f t="shared" si="207"/>
        <v>7488.8000000000084</v>
      </c>
      <c r="I246" s="38">
        <f t="shared" si="200"/>
        <v>0</v>
      </c>
      <c r="J246" s="18">
        <f t="shared" si="201"/>
        <v>1469.4</v>
      </c>
      <c r="K246" s="19">
        <v>0</v>
      </c>
      <c r="L246" s="38">
        <v>0</v>
      </c>
      <c r="M246" s="19">
        <v>1469.4</v>
      </c>
      <c r="N246" s="38">
        <v>0</v>
      </c>
      <c r="O246" s="18">
        <f t="shared" si="208"/>
        <v>1469.4000000000087</v>
      </c>
      <c r="P246" s="19">
        <v>0</v>
      </c>
      <c r="Q246" s="38">
        <v>0</v>
      </c>
      <c r="R246" s="19">
        <f>86630.6-85161.2</f>
        <v>1469.4000000000087</v>
      </c>
      <c r="S246" s="38">
        <v>0</v>
      </c>
      <c r="T246" s="18">
        <f t="shared" si="202"/>
        <v>4550</v>
      </c>
      <c r="U246" s="19">
        <v>0</v>
      </c>
      <c r="V246" s="38">
        <v>0</v>
      </c>
      <c r="W246" s="38">
        <f>26000-21450</f>
        <v>4550</v>
      </c>
      <c r="X246" s="38">
        <v>0</v>
      </c>
      <c r="Y246" s="38">
        <v>0</v>
      </c>
      <c r="Z246" s="19">
        <v>0</v>
      </c>
      <c r="AA246" s="38">
        <v>0</v>
      </c>
      <c r="AB246" s="38">
        <v>0</v>
      </c>
      <c r="AC246" s="38">
        <v>0</v>
      </c>
      <c r="AD246" s="18">
        <f t="shared" si="204"/>
        <v>0</v>
      </c>
      <c r="AE246" s="19">
        <v>0</v>
      </c>
      <c r="AF246" s="38">
        <v>0</v>
      </c>
      <c r="AG246" s="38">
        <v>0</v>
      </c>
      <c r="AH246" s="38">
        <v>0</v>
      </c>
      <c r="AI246" s="18">
        <f t="shared" si="205"/>
        <v>0</v>
      </c>
      <c r="AJ246" s="19">
        <v>0</v>
      </c>
      <c r="AK246" s="38">
        <v>0</v>
      </c>
      <c r="AL246" s="38">
        <v>0</v>
      </c>
      <c r="AM246" s="38">
        <v>0</v>
      </c>
    </row>
    <row r="247" spans="1:39" s="2" customFormat="1" ht="63" outlineLevel="2" x14ac:dyDescent="0.25">
      <c r="A247" s="8" t="s">
        <v>97</v>
      </c>
      <c r="B247" s="32" t="s">
        <v>44</v>
      </c>
      <c r="C247" s="26" t="s">
        <v>32</v>
      </c>
      <c r="D247" s="26" t="s">
        <v>8</v>
      </c>
      <c r="E247" s="20">
        <f t="shared" si="198"/>
        <v>1795</v>
      </c>
      <c r="F247" s="38">
        <f t="shared" si="199"/>
        <v>0</v>
      </c>
      <c r="G247" s="38">
        <f t="shared" si="206"/>
        <v>0</v>
      </c>
      <c r="H247" s="38">
        <f t="shared" si="207"/>
        <v>1795</v>
      </c>
      <c r="I247" s="38">
        <f t="shared" si="200"/>
        <v>0</v>
      </c>
      <c r="J247" s="18">
        <f t="shared" si="201"/>
        <v>0</v>
      </c>
      <c r="K247" s="19">
        <v>0</v>
      </c>
      <c r="L247" s="38">
        <v>0</v>
      </c>
      <c r="M247" s="19">
        <v>0</v>
      </c>
      <c r="N247" s="38">
        <v>0</v>
      </c>
      <c r="O247" s="18">
        <f t="shared" si="208"/>
        <v>0</v>
      </c>
      <c r="P247" s="19">
        <v>0</v>
      </c>
      <c r="Q247" s="38">
        <v>0</v>
      </c>
      <c r="R247" s="19">
        <f>1795-1795</f>
        <v>0</v>
      </c>
      <c r="S247" s="38">
        <v>0</v>
      </c>
      <c r="T247" s="18">
        <f t="shared" si="202"/>
        <v>1795</v>
      </c>
      <c r="U247" s="19">
        <v>0</v>
      </c>
      <c r="V247" s="38">
        <v>0</v>
      </c>
      <c r="W247" s="38">
        <v>1795</v>
      </c>
      <c r="X247" s="38">
        <v>0</v>
      </c>
      <c r="Y247" s="18">
        <f t="shared" si="203"/>
        <v>0</v>
      </c>
      <c r="Z247" s="19">
        <v>0</v>
      </c>
      <c r="AA247" s="38">
        <v>0</v>
      </c>
      <c r="AB247" s="38">
        <v>0</v>
      </c>
      <c r="AC247" s="38">
        <v>0</v>
      </c>
      <c r="AD247" s="18">
        <f t="shared" si="204"/>
        <v>0</v>
      </c>
      <c r="AE247" s="19">
        <v>0</v>
      </c>
      <c r="AF247" s="38">
        <v>0</v>
      </c>
      <c r="AG247" s="38">
        <v>0</v>
      </c>
      <c r="AH247" s="38">
        <v>0</v>
      </c>
      <c r="AI247" s="18">
        <f t="shared" si="205"/>
        <v>0</v>
      </c>
      <c r="AJ247" s="19">
        <v>0</v>
      </c>
      <c r="AK247" s="38">
        <v>0</v>
      </c>
      <c r="AL247" s="38">
        <v>0</v>
      </c>
      <c r="AM247" s="38">
        <v>0</v>
      </c>
    </row>
    <row r="248" spans="1:39" s="2" customFormat="1" ht="63" outlineLevel="2" x14ac:dyDescent="0.25">
      <c r="A248" s="8" t="s">
        <v>98</v>
      </c>
      <c r="B248" s="32" t="s">
        <v>45</v>
      </c>
      <c r="C248" s="26" t="s">
        <v>32</v>
      </c>
      <c r="D248" s="26" t="s">
        <v>8</v>
      </c>
      <c r="E248" s="20">
        <f t="shared" si="198"/>
        <v>5040</v>
      </c>
      <c r="F248" s="38">
        <f t="shared" si="199"/>
        <v>0</v>
      </c>
      <c r="G248" s="38">
        <f t="shared" si="206"/>
        <v>0</v>
      </c>
      <c r="H248" s="38">
        <f t="shared" si="207"/>
        <v>5040</v>
      </c>
      <c r="I248" s="38">
        <f t="shared" si="200"/>
        <v>0</v>
      </c>
      <c r="J248" s="18">
        <f t="shared" si="201"/>
        <v>0</v>
      </c>
      <c r="K248" s="19">
        <v>0</v>
      </c>
      <c r="L248" s="38">
        <v>0</v>
      </c>
      <c r="M248" s="19">
        <v>0</v>
      </c>
      <c r="N248" s="38">
        <v>0</v>
      </c>
      <c r="O248" s="18">
        <f t="shared" si="208"/>
        <v>2520</v>
      </c>
      <c r="P248" s="19">
        <v>0</v>
      </c>
      <c r="Q248" s="38">
        <v>0</v>
      </c>
      <c r="R248" s="19">
        <v>2520</v>
      </c>
      <c r="S248" s="38">
        <v>0</v>
      </c>
      <c r="T248" s="18">
        <f t="shared" si="202"/>
        <v>2520</v>
      </c>
      <c r="U248" s="19">
        <v>0</v>
      </c>
      <c r="V248" s="38">
        <v>0</v>
      </c>
      <c r="W248" s="38">
        <v>2520</v>
      </c>
      <c r="X248" s="38">
        <v>0</v>
      </c>
      <c r="Y248" s="18">
        <f t="shared" si="203"/>
        <v>0</v>
      </c>
      <c r="Z248" s="19">
        <v>0</v>
      </c>
      <c r="AA248" s="38">
        <v>0</v>
      </c>
      <c r="AB248" s="38">
        <v>0</v>
      </c>
      <c r="AC248" s="38">
        <v>0</v>
      </c>
      <c r="AD248" s="18">
        <f t="shared" si="204"/>
        <v>0</v>
      </c>
      <c r="AE248" s="19">
        <v>0</v>
      </c>
      <c r="AF248" s="38">
        <v>0</v>
      </c>
      <c r="AG248" s="38">
        <v>0</v>
      </c>
      <c r="AH248" s="38">
        <v>0</v>
      </c>
      <c r="AI248" s="18">
        <f t="shared" si="205"/>
        <v>0</v>
      </c>
      <c r="AJ248" s="19">
        <v>0</v>
      </c>
      <c r="AK248" s="38">
        <v>0</v>
      </c>
      <c r="AL248" s="38">
        <v>0</v>
      </c>
      <c r="AM248" s="38">
        <v>0</v>
      </c>
    </row>
    <row r="249" spans="1:39" s="2" customFormat="1" ht="47.25" outlineLevel="2" x14ac:dyDescent="0.25">
      <c r="A249" s="8" t="s">
        <v>99</v>
      </c>
      <c r="B249" s="29" t="s">
        <v>103</v>
      </c>
      <c r="C249" s="26" t="s">
        <v>32</v>
      </c>
      <c r="D249" s="26" t="s">
        <v>8</v>
      </c>
      <c r="E249" s="20">
        <f t="shared" si="198"/>
        <v>2213.9</v>
      </c>
      <c r="F249" s="38">
        <f t="shared" ref="F249:F260" si="209">K249+P249+U249</f>
        <v>0</v>
      </c>
      <c r="G249" s="38">
        <f t="shared" si="206"/>
        <v>0</v>
      </c>
      <c r="H249" s="38">
        <f t="shared" si="207"/>
        <v>2213.9</v>
      </c>
      <c r="I249" s="38">
        <f t="shared" si="200"/>
        <v>0</v>
      </c>
      <c r="J249" s="18">
        <f t="shared" si="201"/>
        <v>0</v>
      </c>
      <c r="K249" s="19">
        <v>0</v>
      </c>
      <c r="L249" s="38">
        <v>0</v>
      </c>
      <c r="M249" s="19">
        <v>0</v>
      </c>
      <c r="N249" s="38">
        <v>0</v>
      </c>
      <c r="O249" s="18">
        <f t="shared" si="208"/>
        <v>2213.9</v>
      </c>
      <c r="P249" s="19">
        <v>0</v>
      </c>
      <c r="Q249" s="38">
        <v>0</v>
      </c>
      <c r="R249" s="38">
        <f>1338.4+1142.6-267.1</f>
        <v>2213.9</v>
      </c>
      <c r="S249" s="38">
        <v>0</v>
      </c>
      <c r="T249" s="18">
        <f t="shared" si="202"/>
        <v>0</v>
      </c>
      <c r="U249" s="19">
        <v>0</v>
      </c>
      <c r="V249" s="38">
        <v>0</v>
      </c>
      <c r="W249" s="38">
        <v>0</v>
      </c>
      <c r="X249" s="38">
        <v>0</v>
      </c>
      <c r="Y249" s="18">
        <f t="shared" si="203"/>
        <v>0</v>
      </c>
      <c r="Z249" s="19">
        <v>0</v>
      </c>
      <c r="AA249" s="38">
        <v>0</v>
      </c>
      <c r="AB249" s="38">
        <v>0</v>
      </c>
      <c r="AC249" s="38">
        <v>0</v>
      </c>
      <c r="AD249" s="18">
        <f t="shared" si="204"/>
        <v>0</v>
      </c>
      <c r="AE249" s="19">
        <v>0</v>
      </c>
      <c r="AF249" s="38">
        <v>0</v>
      </c>
      <c r="AG249" s="38">
        <v>0</v>
      </c>
      <c r="AH249" s="38">
        <v>0</v>
      </c>
      <c r="AI249" s="18">
        <f t="shared" si="205"/>
        <v>0</v>
      </c>
      <c r="AJ249" s="19">
        <v>0</v>
      </c>
      <c r="AK249" s="38">
        <v>0</v>
      </c>
      <c r="AL249" s="38">
        <v>0</v>
      </c>
      <c r="AM249" s="38">
        <v>0</v>
      </c>
    </row>
    <row r="250" spans="1:39" s="2" customFormat="1" ht="47.25" outlineLevel="2" x14ac:dyDescent="0.25">
      <c r="A250" s="8" t="s">
        <v>100</v>
      </c>
      <c r="B250" s="29" t="s">
        <v>464</v>
      </c>
      <c r="C250" s="26" t="s">
        <v>32</v>
      </c>
      <c r="D250" s="26" t="s">
        <v>8</v>
      </c>
      <c r="E250" s="20">
        <f t="shared" si="198"/>
        <v>3407.4</v>
      </c>
      <c r="F250" s="38">
        <f t="shared" si="209"/>
        <v>0</v>
      </c>
      <c r="G250" s="38">
        <f t="shared" si="206"/>
        <v>0</v>
      </c>
      <c r="H250" s="38">
        <f t="shared" si="207"/>
        <v>3407.4</v>
      </c>
      <c r="I250" s="38">
        <f t="shared" si="200"/>
        <v>0</v>
      </c>
      <c r="J250" s="18">
        <f t="shared" si="201"/>
        <v>0</v>
      </c>
      <c r="K250" s="19">
        <v>0</v>
      </c>
      <c r="L250" s="38">
        <v>0</v>
      </c>
      <c r="M250" s="19">
        <v>0</v>
      </c>
      <c r="N250" s="38">
        <v>0</v>
      </c>
      <c r="O250" s="18">
        <f t="shared" si="208"/>
        <v>0</v>
      </c>
      <c r="P250" s="19">
        <v>0</v>
      </c>
      <c r="Q250" s="38">
        <v>0</v>
      </c>
      <c r="R250" s="38">
        <f>2150.2+319.8-2470</f>
        <v>0</v>
      </c>
      <c r="S250" s="38">
        <v>0</v>
      </c>
      <c r="T250" s="18">
        <f t="shared" si="202"/>
        <v>3407.4</v>
      </c>
      <c r="U250" s="19">
        <v>0</v>
      </c>
      <c r="V250" s="38">
        <v>0</v>
      </c>
      <c r="W250" s="38">
        <f>2470+937.4</f>
        <v>3407.4</v>
      </c>
      <c r="X250" s="38">
        <v>0</v>
      </c>
      <c r="Y250" s="18">
        <f t="shared" si="203"/>
        <v>0</v>
      </c>
      <c r="Z250" s="19">
        <v>0</v>
      </c>
      <c r="AA250" s="38">
        <v>0</v>
      </c>
      <c r="AB250" s="38">
        <v>0</v>
      </c>
      <c r="AC250" s="38">
        <v>0</v>
      </c>
      <c r="AD250" s="18">
        <f t="shared" si="204"/>
        <v>0</v>
      </c>
      <c r="AE250" s="19">
        <v>0</v>
      </c>
      <c r="AF250" s="38">
        <v>0</v>
      </c>
      <c r="AG250" s="38">
        <v>0</v>
      </c>
      <c r="AH250" s="38">
        <v>0</v>
      </c>
      <c r="AI250" s="18">
        <f t="shared" si="205"/>
        <v>0</v>
      </c>
      <c r="AJ250" s="19">
        <v>0</v>
      </c>
      <c r="AK250" s="38">
        <v>0</v>
      </c>
      <c r="AL250" s="38">
        <v>0</v>
      </c>
      <c r="AM250" s="38">
        <v>0</v>
      </c>
    </row>
    <row r="251" spans="1:39" s="2" customFormat="1" ht="78.75" outlineLevel="2" x14ac:dyDescent="0.25">
      <c r="A251" s="8" t="s">
        <v>101</v>
      </c>
      <c r="B251" s="29" t="s">
        <v>269</v>
      </c>
      <c r="C251" s="26" t="s">
        <v>377</v>
      </c>
      <c r="D251" s="26" t="s">
        <v>8</v>
      </c>
      <c r="E251" s="20">
        <f t="shared" si="198"/>
        <v>7870.1</v>
      </c>
      <c r="F251" s="38">
        <f t="shared" si="209"/>
        <v>0</v>
      </c>
      <c r="G251" s="38">
        <f t="shared" si="206"/>
        <v>0</v>
      </c>
      <c r="H251" s="38">
        <f t="shared" si="207"/>
        <v>7870.1</v>
      </c>
      <c r="I251" s="38">
        <f t="shared" si="200"/>
        <v>0</v>
      </c>
      <c r="J251" s="18">
        <f t="shared" si="201"/>
        <v>7788.8</v>
      </c>
      <c r="K251" s="19">
        <v>0</v>
      </c>
      <c r="L251" s="38">
        <v>0</v>
      </c>
      <c r="M251" s="19">
        <v>7788.8</v>
      </c>
      <c r="N251" s="38">
        <v>0</v>
      </c>
      <c r="O251" s="18">
        <f t="shared" si="208"/>
        <v>81.299999999999955</v>
      </c>
      <c r="P251" s="19">
        <v>0</v>
      </c>
      <c r="Q251" s="38">
        <v>0</v>
      </c>
      <c r="R251" s="38">
        <f>1160-1078.7</f>
        <v>81.299999999999955</v>
      </c>
      <c r="S251" s="38">
        <v>0</v>
      </c>
      <c r="T251" s="18">
        <f t="shared" si="202"/>
        <v>0</v>
      </c>
      <c r="U251" s="19">
        <v>0</v>
      </c>
      <c r="V251" s="38">
        <v>0</v>
      </c>
      <c r="W251" s="38">
        <v>0</v>
      </c>
      <c r="X251" s="38">
        <v>0</v>
      </c>
      <c r="Y251" s="18">
        <f t="shared" si="203"/>
        <v>0</v>
      </c>
      <c r="Z251" s="19">
        <v>0</v>
      </c>
      <c r="AA251" s="38">
        <v>0</v>
      </c>
      <c r="AB251" s="38">
        <v>0</v>
      </c>
      <c r="AC251" s="38">
        <v>0</v>
      </c>
      <c r="AD251" s="18">
        <f t="shared" si="204"/>
        <v>0</v>
      </c>
      <c r="AE251" s="19">
        <v>0</v>
      </c>
      <c r="AF251" s="38">
        <v>0</v>
      </c>
      <c r="AG251" s="38">
        <v>0</v>
      </c>
      <c r="AH251" s="38">
        <v>0</v>
      </c>
      <c r="AI251" s="18">
        <f t="shared" si="205"/>
        <v>0</v>
      </c>
      <c r="AJ251" s="19">
        <v>0</v>
      </c>
      <c r="AK251" s="38">
        <v>0</v>
      </c>
      <c r="AL251" s="38">
        <v>0</v>
      </c>
      <c r="AM251" s="38">
        <v>0</v>
      </c>
    </row>
    <row r="252" spans="1:39" s="2" customFormat="1" ht="78.75" outlineLevel="2" x14ac:dyDescent="0.25">
      <c r="A252" s="8" t="s">
        <v>102</v>
      </c>
      <c r="B252" s="29" t="s">
        <v>106</v>
      </c>
      <c r="C252" s="26" t="s">
        <v>377</v>
      </c>
      <c r="D252" s="31" t="s">
        <v>41</v>
      </c>
      <c r="E252" s="20">
        <f>H252+I252</f>
        <v>2360.1</v>
      </c>
      <c r="F252" s="38">
        <f t="shared" si="209"/>
        <v>0</v>
      </c>
      <c r="G252" s="38">
        <f t="shared" si="206"/>
        <v>0</v>
      </c>
      <c r="H252" s="38">
        <f t="shared" si="207"/>
        <v>2336.5</v>
      </c>
      <c r="I252" s="38">
        <f t="shared" si="200"/>
        <v>23.599999999999998</v>
      </c>
      <c r="J252" s="18">
        <f t="shared" si="201"/>
        <v>2360.1</v>
      </c>
      <c r="K252" s="19">
        <v>0</v>
      </c>
      <c r="L252" s="38">
        <v>0</v>
      </c>
      <c r="M252" s="50">
        <f>3244.5-516-392</f>
        <v>2336.5</v>
      </c>
      <c r="N252" s="38">
        <f>32.8-5.2-4</f>
        <v>23.599999999999998</v>
      </c>
      <c r="O252" s="18">
        <f t="shared" si="208"/>
        <v>0</v>
      </c>
      <c r="P252" s="19">
        <v>0</v>
      </c>
      <c r="Q252" s="38">
        <v>0</v>
      </c>
      <c r="R252" s="38">
        <v>0</v>
      </c>
      <c r="S252" s="38">
        <v>0</v>
      </c>
      <c r="T252" s="18">
        <f t="shared" si="202"/>
        <v>0</v>
      </c>
      <c r="U252" s="19">
        <v>0</v>
      </c>
      <c r="V252" s="38">
        <v>0</v>
      </c>
      <c r="W252" s="38">
        <v>0</v>
      </c>
      <c r="X252" s="38">
        <v>0</v>
      </c>
      <c r="Y252" s="18">
        <f t="shared" si="203"/>
        <v>0</v>
      </c>
      <c r="Z252" s="19">
        <v>0</v>
      </c>
      <c r="AA252" s="38">
        <v>0</v>
      </c>
      <c r="AB252" s="38">
        <v>0</v>
      </c>
      <c r="AC252" s="38">
        <v>0</v>
      </c>
      <c r="AD252" s="18">
        <f t="shared" si="204"/>
        <v>0</v>
      </c>
      <c r="AE252" s="19">
        <v>0</v>
      </c>
      <c r="AF252" s="38">
        <v>0</v>
      </c>
      <c r="AG252" s="38">
        <v>0</v>
      </c>
      <c r="AH252" s="38">
        <v>0</v>
      </c>
      <c r="AI252" s="18">
        <f t="shared" si="205"/>
        <v>0</v>
      </c>
      <c r="AJ252" s="19">
        <v>0</v>
      </c>
      <c r="AK252" s="38">
        <v>0</v>
      </c>
      <c r="AL252" s="38">
        <v>0</v>
      </c>
      <c r="AM252" s="38">
        <v>0</v>
      </c>
    </row>
    <row r="253" spans="1:39" s="2" customFormat="1" ht="78.75" outlineLevel="2" x14ac:dyDescent="0.25">
      <c r="A253" s="8" t="s">
        <v>104</v>
      </c>
      <c r="B253" s="29" t="s">
        <v>107</v>
      </c>
      <c r="C253" s="26" t="s">
        <v>377</v>
      </c>
      <c r="D253" s="31" t="s">
        <v>41</v>
      </c>
      <c r="E253" s="20">
        <f>H253+I253</f>
        <v>1811.1</v>
      </c>
      <c r="F253" s="38">
        <f t="shared" si="209"/>
        <v>0</v>
      </c>
      <c r="G253" s="38">
        <f t="shared" si="206"/>
        <v>0</v>
      </c>
      <c r="H253" s="38">
        <f t="shared" si="207"/>
        <v>1793</v>
      </c>
      <c r="I253" s="38">
        <f t="shared" si="200"/>
        <v>18.100000000000001</v>
      </c>
      <c r="J253" s="18">
        <f t="shared" si="201"/>
        <v>1811.1</v>
      </c>
      <c r="K253" s="19">
        <v>0</v>
      </c>
      <c r="L253" s="38">
        <v>0</v>
      </c>
      <c r="M253" s="50">
        <f>3129.9-1336.9</f>
        <v>1793</v>
      </c>
      <c r="N253" s="38">
        <f>31.6-13.5</f>
        <v>18.100000000000001</v>
      </c>
      <c r="O253" s="18">
        <f t="shared" si="208"/>
        <v>0</v>
      </c>
      <c r="P253" s="19">
        <v>0</v>
      </c>
      <c r="Q253" s="38">
        <v>0</v>
      </c>
      <c r="R253" s="38">
        <v>0</v>
      </c>
      <c r="S253" s="38">
        <v>0</v>
      </c>
      <c r="T253" s="18">
        <f t="shared" si="202"/>
        <v>0</v>
      </c>
      <c r="U253" s="19">
        <v>0</v>
      </c>
      <c r="V253" s="38">
        <v>0</v>
      </c>
      <c r="W253" s="38">
        <v>0</v>
      </c>
      <c r="X253" s="38">
        <v>0</v>
      </c>
      <c r="Y253" s="18">
        <f t="shared" si="203"/>
        <v>0</v>
      </c>
      <c r="Z253" s="19">
        <v>0</v>
      </c>
      <c r="AA253" s="38">
        <v>0</v>
      </c>
      <c r="AB253" s="38">
        <v>0</v>
      </c>
      <c r="AC253" s="38">
        <v>0</v>
      </c>
      <c r="AD253" s="18">
        <f t="shared" si="204"/>
        <v>0</v>
      </c>
      <c r="AE253" s="19">
        <v>0</v>
      </c>
      <c r="AF253" s="38">
        <v>0</v>
      </c>
      <c r="AG253" s="38">
        <v>0</v>
      </c>
      <c r="AH253" s="38">
        <v>0</v>
      </c>
      <c r="AI253" s="18">
        <f t="shared" si="205"/>
        <v>0</v>
      </c>
      <c r="AJ253" s="19">
        <v>0</v>
      </c>
      <c r="AK253" s="38">
        <v>0</v>
      </c>
      <c r="AL253" s="38">
        <v>0</v>
      </c>
      <c r="AM253" s="38">
        <v>0</v>
      </c>
    </row>
    <row r="254" spans="1:39" s="2" customFormat="1" ht="78.75" outlineLevel="2" x14ac:dyDescent="0.25">
      <c r="A254" s="8" t="s">
        <v>185</v>
      </c>
      <c r="B254" s="29" t="s">
        <v>108</v>
      </c>
      <c r="C254" s="26" t="s">
        <v>377</v>
      </c>
      <c r="D254" s="31" t="s">
        <v>41</v>
      </c>
      <c r="E254" s="20">
        <f>H254+I254</f>
        <v>1706.8</v>
      </c>
      <c r="F254" s="38">
        <f t="shared" si="209"/>
        <v>0</v>
      </c>
      <c r="G254" s="38">
        <f t="shared" si="206"/>
        <v>0</v>
      </c>
      <c r="H254" s="38">
        <f t="shared" si="207"/>
        <v>1689.7</v>
      </c>
      <c r="I254" s="38">
        <f t="shared" si="200"/>
        <v>17.100000000000001</v>
      </c>
      <c r="J254" s="18">
        <f t="shared" si="201"/>
        <v>1706.8</v>
      </c>
      <c r="K254" s="19">
        <v>0</v>
      </c>
      <c r="L254" s="38">
        <v>0</v>
      </c>
      <c r="M254" s="50">
        <f>3210.9-1521.2</f>
        <v>1689.7</v>
      </c>
      <c r="N254" s="38">
        <f>32.5-15.4</f>
        <v>17.100000000000001</v>
      </c>
      <c r="O254" s="18">
        <f t="shared" si="208"/>
        <v>0</v>
      </c>
      <c r="P254" s="19">
        <v>0</v>
      </c>
      <c r="Q254" s="38">
        <v>0</v>
      </c>
      <c r="R254" s="38">
        <v>0</v>
      </c>
      <c r="S254" s="38">
        <v>0</v>
      </c>
      <c r="T254" s="18">
        <f t="shared" si="202"/>
        <v>0</v>
      </c>
      <c r="U254" s="19">
        <v>0</v>
      </c>
      <c r="V254" s="38">
        <v>0</v>
      </c>
      <c r="W254" s="38">
        <v>0</v>
      </c>
      <c r="X254" s="38">
        <v>0</v>
      </c>
      <c r="Y254" s="18">
        <f t="shared" si="203"/>
        <v>0</v>
      </c>
      <c r="Z254" s="19">
        <v>0</v>
      </c>
      <c r="AA254" s="38">
        <v>0</v>
      </c>
      <c r="AB254" s="38">
        <v>0</v>
      </c>
      <c r="AC254" s="38">
        <v>0</v>
      </c>
      <c r="AD254" s="18">
        <f t="shared" si="204"/>
        <v>0</v>
      </c>
      <c r="AE254" s="19">
        <v>0</v>
      </c>
      <c r="AF254" s="38">
        <v>0</v>
      </c>
      <c r="AG254" s="38">
        <v>0</v>
      </c>
      <c r="AH254" s="38">
        <v>0</v>
      </c>
      <c r="AI254" s="18">
        <f t="shared" si="205"/>
        <v>0</v>
      </c>
      <c r="AJ254" s="19">
        <v>0</v>
      </c>
      <c r="AK254" s="38">
        <v>0</v>
      </c>
      <c r="AL254" s="38">
        <v>0</v>
      </c>
      <c r="AM254" s="38">
        <v>0</v>
      </c>
    </row>
    <row r="255" spans="1:39" s="2" customFormat="1" ht="78.75" outlineLevel="2" x14ac:dyDescent="0.25">
      <c r="A255" s="8" t="s">
        <v>186</v>
      </c>
      <c r="B255" s="29" t="s">
        <v>109</v>
      </c>
      <c r="C255" s="26" t="s">
        <v>377</v>
      </c>
      <c r="D255" s="31" t="s">
        <v>41</v>
      </c>
      <c r="E255" s="20">
        <f>H255+I255</f>
        <v>1370.8</v>
      </c>
      <c r="F255" s="38">
        <f t="shared" si="209"/>
        <v>0</v>
      </c>
      <c r="G255" s="38">
        <f t="shared" si="206"/>
        <v>0</v>
      </c>
      <c r="H255" s="38">
        <f t="shared" si="207"/>
        <v>1357.1</v>
      </c>
      <c r="I255" s="38">
        <f t="shared" si="200"/>
        <v>13.7</v>
      </c>
      <c r="J255" s="18">
        <f t="shared" si="201"/>
        <v>1370.8</v>
      </c>
      <c r="K255" s="19">
        <v>0</v>
      </c>
      <c r="L255" s="38">
        <v>0</v>
      </c>
      <c r="M255" s="50">
        <f>2985.7-1628.6</f>
        <v>1357.1</v>
      </c>
      <c r="N255" s="38">
        <f>30.2-16.5</f>
        <v>13.7</v>
      </c>
      <c r="O255" s="18">
        <f t="shared" si="208"/>
        <v>0</v>
      </c>
      <c r="P255" s="19">
        <v>0</v>
      </c>
      <c r="Q255" s="38">
        <v>0</v>
      </c>
      <c r="R255" s="38">
        <v>0</v>
      </c>
      <c r="S255" s="38">
        <v>0</v>
      </c>
      <c r="T255" s="18">
        <f t="shared" si="202"/>
        <v>0</v>
      </c>
      <c r="U255" s="19">
        <v>0</v>
      </c>
      <c r="V255" s="38">
        <v>0</v>
      </c>
      <c r="W255" s="38">
        <v>0</v>
      </c>
      <c r="X255" s="38">
        <v>0</v>
      </c>
      <c r="Y255" s="18">
        <f t="shared" si="203"/>
        <v>0</v>
      </c>
      <c r="Z255" s="19">
        <v>0</v>
      </c>
      <c r="AA255" s="38">
        <v>0</v>
      </c>
      <c r="AB255" s="38">
        <v>0</v>
      </c>
      <c r="AC255" s="38">
        <v>0</v>
      </c>
      <c r="AD255" s="18">
        <f t="shared" si="204"/>
        <v>0</v>
      </c>
      <c r="AE255" s="19">
        <v>0</v>
      </c>
      <c r="AF255" s="38">
        <v>0</v>
      </c>
      <c r="AG255" s="38">
        <v>0</v>
      </c>
      <c r="AH255" s="38">
        <v>0</v>
      </c>
      <c r="AI255" s="18">
        <f t="shared" si="205"/>
        <v>0</v>
      </c>
      <c r="AJ255" s="19">
        <v>0</v>
      </c>
      <c r="AK255" s="38">
        <v>0</v>
      </c>
      <c r="AL255" s="38">
        <v>0</v>
      </c>
      <c r="AM255" s="38">
        <v>0</v>
      </c>
    </row>
    <row r="256" spans="1:39" s="2" customFormat="1" ht="78.75" outlineLevel="2" x14ac:dyDescent="0.25">
      <c r="A256" s="8" t="s">
        <v>187</v>
      </c>
      <c r="B256" s="29" t="s">
        <v>110</v>
      </c>
      <c r="C256" s="26" t="s">
        <v>377</v>
      </c>
      <c r="D256" s="31" t="s">
        <v>41</v>
      </c>
      <c r="E256" s="20">
        <f>H256+I256</f>
        <v>683.59999999999991</v>
      </c>
      <c r="F256" s="38">
        <f t="shared" si="209"/>
        <v>0</v>
      </c>
      <c r="G256" s="38">
        <f t="shared" si="206"/>
        <v>0</v>
      </c>
      <c r="H256" s="38">
        <f t="shared" si="207"/>
        <v>676.8</v>
      </c>
      <c r="I256" s="38">
        <f t="shared" si="200"/>
        <v>6.7999999999999989</v>
      </c>
      <c r="J256" s="18">
        <f t="shared" si="201"/>
        <v>683.59999999999991</v>
      </c>
      <c r="K256" s="19">
        <v>0</v>
      </c>
      <c r="L256" s="38">
        <v>0</v>
      </c>
      <c r="M256" s="50">
        <f>1799-1122.2</f>
        <v>676.8</v>
      </c>
      <c r="N256" s="38">
        <f>18.2-11.4</f>
        <v>6.7999999999999989</v>
      </c>
      <c r="O256" s="18">
        <f t="shared" si="208"/>
        <v>0</v>
      </c>
      <c r="P256" s="19">
        <v>0</v>
      </c>
      <c r="Q256" s="38">
        <v>0</v>
      </c>
      <c r="R256" s="38">
        <v>0</v>
      </c>
      <c r="S256" s="38">
        <v>0</v>
      </c>
      <c r="T256" s="18">
        <f t="shared" si="202"/>
        <v>0</v>
      </c>
      <c r="U256" s="19">
        <v>0</v>
      </c>
      <c r="V256" s="38">
        <v>0</v>
      </c>
      <c r="W256" s="38">
        <v>0</v>
      </c>
      <c r="X256" s="38">
        <v>0</v>
      </c>
      <c r="Y256" s="18">
        <f t="shared" si="203"/>
        <v>0</v>
      </c>
      <c r="Z256" s="19">
        <v>0</v>
      </c>
      <c r="AA256" s="38">
        <v>0</v>
      </c>
      <c r="AB256" s="38">
        <v>0</v>
      </c>
      <c r="AC256" s="38">
        <v>0</v>
      </c>
      <c r="AD256" s="18">
        <f t="shared" si="204"/>
        <v>0</v>
      </c>
      <c r="AE256" s="19">
        <v>0</v>
      </c>
      <c r="AF256" s="38">
        <v>0</v>
      </c>
      <c r="AG256" s="38">
        <v>0</v>
      </c>
      <c r="AH256" s="38">
        <v>0</v>
      </c>
      <c r="AI256" s="18">
        <f t="shared" si="205"/>
        <v>0</v>
      </c>
      <c r="AJ256" s="19">
        <v>0</v>
      </c>
      <c r="AK256" s="38">
        <v>0</v>
      </c>
      <c r="AL256" s="38">
        <v>0</v>
      </c>
      <c r="AM256" s="38">
        <v>0</v>
      </c>
    </row>
    <row r="257" spans="1:39" s="2" customFormat="1" ht="78.75" outlineLevel="2" x14ac:dyDescent="0.25">
      <c r="A257" s="8" t="s">
        <v>188</v>
      </c>
      <c r="B257" s="29" t="s">
        <v>333</v>
      </c>
      <c r="C257" s="26" t="s">
        <v>377</v>
      </c>
      <c r="D257" s="26" t="s">
        <v>118</v>
      </c>
      <c r="E257" s="20">
        <f t="shared" ref="E257:E262" si="210">SUM(F257:I257)</f>
        <v>1461.6</v>
      </c>
      <c r="F257" s="38">
        <f t="shared" si="209"/>
        <v>0</v>
      </c>
      <c r="G257" s="38">
        <f t="shared" si="206"/>
        <v>0</v>
      </c>
      <c r="H257" s="38">
        <f t="shared" si="207"/>
        <v>1461.6</v>
      </c>
      <c r="I257" s="38">
        <f t="shared" si="200"/>
        <v>0</v>
      </c>
      <c r="J257" s="18">
        <f t="shared" si="201"/>
        <v>1461.6</v>
      </c>
      <c r="K257" s="19">
        <v>0</v>
      </c>
      <c r="L257" s="38">
        <v>0</v>
      </c>
      <c r="M257" s="50">
        <v>1461.6</v>
      </c>
      <c r="N257" s="38">
        <v>0</v>
      </c>
      <c r="O257" s="18">
        <f t="shared" si="208"/>
        <v>0</v>
      </c>
      <c r="P257" s="19">
        <v>0</v>
      </c>
      <c r="Q257" s="38">
        <v>0</v>
      </c>
      <c r="R257" s="38">
        <v>0</v>
      </c>
      <c r="S257" s="38">
        <v>0</v>
      </c>
      <c r="T257" s="18">
        <f t="shared" si="202"/>
        <v>0</v>
      </c>
      <c r="U257" s="19">
        <v>0</v>
      </c>
      <c r="V257" s="38">
        <v>0</v>
      </c>
      <c r="W257" s="38">
        <v>0</v>
      </c>
      <c r="X257" s="38">
        <v>0</v>
      </c>
      <c r="Y257" s="18">
        <f t="shared" si="203"/>
        <v>0</v>
      </c>
      <c r="Z257" s="19">
        <v>0</v>
      </c>
      <c r="AA257" s="38">
        <v>0</v>
      </c>
      <c r="AB257" s="38">
        <v>0</v>
      </c>
      <c r="AC257" s="38">
        <v>0</v>
      </c>
      <c r="AD257" s="18">
        <f t="shared" si="204"/>
        <v>0</v>
      </c>
      <c r="AE257" s="19">
        <v>0</v>
      </c>
      <c r="AF257" s="38">
        <v>0</v>
      </c>
      <c r="AG257" s="38">
        <v>0</v>
      </c>
      <c r="AH257" s="38">
        <v>0</v>
      </c>
      <c r="AI257" s="18">
        <f t="shared" si="205"/>
        <v>0</v>
      </c>
      <c r="AJ257" s="19">
        <v>0</v>
      </c>
      <c r="AK257" s="38">
        <v>0</v>
      </c>
      <c r="AL257" s="38">
        <v>0</v>
      </c>
      <c r="AM257" s="38">
        <v>0</v>
      </c>
    </row>
    <row r="258" spans="1:39" s="2" customFormat="1" ht="126" outlineLevel="2" x14ac:dyDescent="0.25">
      <c r="A258" s="8" t="s">
        <v>189</v>
      </c>
      <c r="B258" s="29" t="s">
        <v>435</v>
      </c>
      <c r="C258" s="26" t="s">
        <v>32</v>
      </c>
      <c r="D258" s="26" t="s">
        <v>8</v>
      </c>
      <c r="E258" s="20">
        <f t="shared" si="210"/>
        <v>3193.7000000000003</v>
      </c>
      <c r="F258" s="38">
        <f t="shared" si="209"/>
        <v>0</v>
      </c>
      <c r="G258" s="38">
        <f t="shared" si="206"/>
        <v>0</v>
      </c>
      <c r="H258" s="38">
        <f t="shared" si="207"/>
        <v>3193.7000000000003</v>
      </c>
      <c r="I258" s="38">
        <f t="shared" si="200"/>
        <v>0</v>
      </c>
      <c r="J258" s="18">
        <f t="shared" si="201"/>
        <v>0</v>
      </c>
      <c r="K258" s="19">
        <v>0</v>
      </c>
      <c r="L258" s="38">
        <v>0</v>
      </c>
      <c r="M258" s="50">
        <v>0</v>
      </c>
      <c r="N258" s="38">
        <v>0</v>
      </c>
      <c r="O258" s="18">
        <f t="shared" si="208"/>
        <v>2816.0000000000005</v>
      </c>
      <c r="P258" s="19">
        <v>0</v>
      </c>
      <c r="Q258" s="38">
        <v>0</v>
      </c>
      <c r="R258" s="38">
        <f>7450-4256.4-377.6</f>
        <v>2816.0000000000005</v>
      </c>
      <c r="S258" s="38">
        <v>0</v>
      </c>
      <c r="T258" s="18">
        <f t="shared" si="202"/>
        <v>377.7</v>
      </c>
      <c r="U258" s="19">
        <v>0</v>
      </c>
      <c r="V258" s="38">
        <v>0</v>
      </c>
      <c r="W258" s="38">
        <v>377.7</v>
      </c>
      <c r="X258" s="38">
        <v>0</v>
      </c>
      <c r="Y258" s="18">
        <f t="shared" si="203"/>
        <v>0</v>
      </c>
      <c r="Z258" s="19">
        <v>0</v>
      </c>
      <c r="AA258" s="38">
        <v>0</v>
      </c>
      <c r="AB258" s="38">
        <v>0</v>
      </c>
      <c r="AC258" s="38">
        <v>0</v>
      </c>
      <c r="AD258" s="18">
        <f t="shared" si="204"/>
        <v>0</v>
      </c>
      <c r="AE258" s="19">
        <v>0</v>
      </c>
      <c r="AF258" s="38">
        <v>0</v>
      </c>
      <c r="AG258" s="38">
        <v>0</v>
      </c>
      <c r="AH258" s="38">
        <v>0</v>
      </c>
      <c r="AI258" s="18">
        <f t="shared" si="205"/>
        <v>0</v>
      </c>
      <c r="AJ258" s="19">
        <v>0</v>
      </c>
      <c r="AK258" s="38">
        <v>0</v>
      </c>
      <c r="AL258" s="38">
        <v>0</v>
      </c>
      <c r="AM258" s="38">
        <v>0</v>
      </c>
    </row>
    <row r="259" spans="1:39" s="2" customFormat="1" ht="78.75" outlineLevel="2" x14ac:dyDescent="0.25">
      <c r="A259" s="8" t="s">
        <v>316</v>
      </c>
      <c r="B259" s="29" t="s">
        <v>431</v>
      </c>
      <c r="C259" s="26" t="s">
        <v>32</v>
      </c>
      <c r="D259" s="31" t="s">
        <v>41</v>
      </c>
      <c r="E259" s="20">
        <f t="shared" si="210"/>
        <v>267.39999999999998</v>
      </c>
      <c r="F259" s="38">
        <f t="shared" si="209"/>
        <v>0</v>
      </c>
      <c r="G259" s="38">
        <f t="shared" si="206"/>
        <v>0</v>
      </c>
      <c r="H259" s="38">
        <f t="shared" si="207"/>
        <v>264.7</v>
      </c>
      <c r="I259" s="38">
        <f t="shared" si="200"/>
        <v>2.7</v>
      </c>
      <c r="J259" s="18">
        <f t="shared" si="201"/>
        <v>267.39999999999998</v>
      </c>
      <c r="K259" s="19">
        <v>0</v>
      </c>
      <c r="L259" s="38">
        <v>0</v>
      </c>
      <c r="M259" s="50">
        <v>264.7</v>
      </c>
      <c r="N259" s="38">
        <v>2.7</v>
      </c>
      <c r="O259" s="18">
        <f t="shared" si="208"/>
        <v>0</v>
      </c>
      <c r="P259" s="19">
        <v>0</v>
      </c>
      <c r="Q259" s="38">
        <v>0</v>
      </c>
      <c r="R259" s="38">
        <v>0</v>
      </c>
      <c r="S259" s="38">
        <v>0</v>
      </c>
      <c r="T259" s="18">
        <f t="shared" si="202"/>
        <v>0</v>
      </c>
      <c r="U259" s="19">
        <v>0</v>
      </c>
      <c r="V259" s="38">
        <v>0</v>
      </c>
      <c r="W259" s="38">
        <v>0</v>
      </c>
      <c r="X259" s="38">
        <v>0</v>
      </c>
      <c r="Y259" s="18">
        <f t="shared" si="203"/>
        <v>0</v>
      </c>
      <c r="Z259" s="19">
        <v>0</v>
      </c>
      <c r="AA259" s="38">
        <v>0</v>
      </c>
      <c r="AB259" s="38">
        <v>0</v>
      </c>
      <c r="AC259" s="38">
        <v>0</v>
      </c>
      <c r="AD259" s="18">
        <f t="shared" si="204"/>
        <v>0</v>
      </c>
      <c r="AE259" s="19">
        <v>0</v>
      </c>
      <c r="AF259" s="38">
        <v>0</v>
      </c>
      <c r="AG259" s="38">
        <v>0</v>
      </c>
      <c r="AH259" s="38">
        <v>0</v>
      </c>
      <c r="AI259" s="18">
        <f t="shared" si="205"/>
        <v>0</v>
      </c>
      <c r="AJ259" s="19">
        <v>0</v>
      </c>
      <c r="AK259" s="38">
        <v>0</v>
      </c>
      <c r="AL259" s="38">
        <v>0</v>
      </c>
      <c r="AM259" s="38">
        <v>0</v>
      </c>
    </row>
    <row r="260" spans="1:39" s="2" customFormat="1" ht="47.25" outlineLevel="2" x14ac:dyDescent="0.25">
      <c r="A260" s="8" t="s">
        <v>808</v>
      </c>
      <c r="B260" s="29" t="s">
        <v>807</v>
      </c>
      <c r="C260" s="26" t="s">
        <v>32</v>
      </c>
      <c r="D260" s="31" t="s">
        <v>41</v>
      </c>
      <c r="E260" s="20">
        <f t="shared" si="210"/>
        <v>445.4</v>
      </c>
      <c r="F260" s="38">
        <f t="shared" si="209"/>
        <v>0</v>
      </c>
      <c r="G260" s="38">
        <f t="shared" ref="G260:I262" si="211">L260+Q260+V260+AA260+AF260+AK260</f>
        <v>0</v>
      </c>
      <c r="H260" s="38">
        <f t="shared" si="211"/>
        <v>440.9</v>
      </c>
      <c r="I260" s="38">
        <f t="shared" si="211"/>
        <v>4.5</v>
      </c>
      <c r="J260" s="18">
        <f>SUM(K260:N260)</f>
        <v>0</v>
      </c>
      <c r="K260" s="19">
        <v>0</v>
      </c>
      <c r="L260" s="38">
        <v>0</v>
      </c>
      <c r="M260" s="50">
        <v>0</v>
      </c>
      <c r="N260" s="38">
        <v>0</v>
      </c>
      <c r="O260" s="18">
        <f>SUM(Q260:S260)</f>
        <v>445.4</v>
      </c>
      <c r="P260" s="19">
        <v>0</v>
      </c>
      <c r="Q260" s="38">
        <v>0</v>
      </c>
      <c r="R260" s="38">
        <v>440.9</v>
      </c>
      <c r="S260" s="38">
        <v>4.5</v>
      </c>
      <c r="T260" s="18">
        <f>SUM(U260:X260)</f>
        <v>0</v>
      </c>
      <c r="U260" s="19">
        <v>0</v>
      </c>
      <c r="V260" s="38">
        <v>0</v>
      </c>
      <c r="W260" s="38">
        <v>0</v>
      </c>
      <c r="X260" s="38">
        <v>0</v>
      </c>
      <c r="Y260" s="18">
        <f>SUM(Z260:AC260)</f>
        <v>0</v>
      </c>
      <c r="Z260" s="19">
        <v>0</v>
      </c>
      <c r="AA260" s="38">
        <v>0</v>
      </c>
      <c r="AB260" s="38">
        <v>0</v>
      </c>
      <c r="AC260" s="38">
        <v>0</v>
      </c>
      <c r="AD260" s="18">
        <f>SUM(AE260:AH260)</f>
        <v>0</v>
      </c>
      <c r="AE260" s="19">
        <v>0</v>
      </c>
      <c r="AF260" s="38">
        <v>0</v>
      </c>
      <c r="AG260" s="38">
        <v>0</v>
      </c>
      <c r="AH260" s="38">
        <v>0</v>
      </c>
      <c r="AI260" s="18">
        <f>SUM(AJ260:AM260)</f>
        <v>0</v>
      </c>
      <c r="AJ260" s="19">
        <v>0</v>
      </c>
      <c r="AK260" s="38">
        <v>0</v>
      </c>
      <c r="AL260" s="38">
        <v>0</v>
      </c>
      <c r="AM260" s="38">
        <v>0</v>
      </c>
    </row>
    <row r="261" spans="1:39" s="2" customFormat="1" ht="63" outlineLevel="2" x14ac:dyDescent="0.25">
      <c r="A261" s="8" t="s">
        <v>993</v>
      </c>
      <c r="B261" s="29" t="s">
        <v>995</v>
      </c>
      <c r="C261" s="26" t="s">
        <v>32</v>
      </c>
      <c r="D261" s="31" t="s">
        <v>8</v>
      </c>
      <c r="E261" s="20">
        <f t="shared" si="210"/>
        <v>634.1</v>
      </c>
      <c r="F261" s="38">
        <f t="shared" ref="F261:F262" si="212">K261+P261+U261</f>
        <v>0</v>
      </c>
      <c r="G261" s="38">
        <f t="shared" si="211"/>
        <v>0</v>
      </c>
      <c r="H261" s="38">
        <f t="shared" si="211"/>
        <v>634.1</v>
      </c>
      <c r="I261" s="38">
        <f t="shared" si="211"/>
        <v>0</v>
      </c>
      <c r="J261" s="18">
        <f>SUM(K261:N261)</f>
        <v>0</v>
      </c>
      <c r="K261" s="19">
        <v>0</v>
      </c>
      <c r="L261" s="38">
        <v>0</v>
      </c>
      <c r="M261" s="50">
        <v>0</v>
      </c>
      <c r="N261" s="38">
        <v>0</v>
      </c>
      <c r="O261" s="18">
        <f>SUM(Q261:S261)</f>
        <v>0</v>
      </c>
      <c r="P261" s="19">
        <v>0</v>
      </c>
      <c r="Q261" s="38">
        <v>0</v>
      </c>
      <c r="R261" s="38">
        <v>0</v>
      </c>
      <c r="S261" s="38">
        <v>0</v>
      </c>
      <c r="T261" s="18">
        <f>SUM(U261:X261)</f>
        <v>634.1</v>
      </c>
      <c r="U261" s="19">
        <v>0</v>
      </c>
      <c r="V261" s="38">
        <v>0</v>
      </c>
      <c r="W261" s="38">
        <v>634.1</v>
      </c>
      <c r="X261" s="38">
        <v>0</v>
      </c>
      <c r="Y261" s="18">
        <f>SUM(Z261:AC261)</f>
        <v>0</v>
      </c>
      <c r="Z261" s="19">
        <v>0</v>
      </c>
      <c r="AA261" s="38">
        <v>0</v>
      </c>
      <c r="AB261" s="38">
        <v>0</v>
      </c>
      <c r="AC261" s="38">
        <v>0</v>
      </c>
      <c r="AD261" s="18">
        <f>SUM(AE261:AH261)</f>
        <v>0</v>
      </c>
      <c r="AE261" s="19">
        <v>0</v>
      </c>
      <c r="AF261" s="38">
        <v>0</v>
      </c>
      <c r="AG261" s="38">
        <v>0</v>
      </c>
      <c r="AH261" s="38">
        <v>0</v>
      </c>
      <c r="AI261" s="18">
        <f>SUM(AJ261:AM261)</f>
        <v>0</v>
      </c>
      <c r="AJ261" s="19">
        <v>0</v>
      </c>
      <c r="AK261" s="38">
        <v>0</v>
      </c>
      <c r="AL261" s="38">
        <v>0</v>
      </c>
      <c r="AM261" s="38">
        <v>0</v>
      </c>
    </row>
    <row r="262" spans="1:39" s="2" customFormat="1" ht="63" outlineLevel="2" x14ac:dyDescent="0.25">
      <c r="A262" s="8" t="s">
        <v>994</v>
      </c>
      <c r="B262" s="29" t="s">
        <v>996</v>
      </c>
      <c r="C262" s="26" t="s">
        <v>32</v>
      </c>
      <c r="D262" s="31" t="s">
        <v>8</v>
      </c>
      <c r="E262" s="20">
        <f t="shared" si="210"/>
        <v>1149.4000000000001</v>
      </c>
      <c r="F262" s="38">
        <f t="shared" si="212"/>
        <v>0</v>
      </c>
      <c r="G262" s="38">
        <f t="shared" si="211"/>
        <v>0</v>
      </c>
      <c r="H262" s="38">
        <f t="shared" si="211"/>
        <v>1149.4000000000001</v>
      </c>
      <c r="I262" s="38">
        <f t="shared" si="211"/>
        <v>0</v>
      </c>
      <c r="J262" s="18">
        <f>SUM(K262:N262)</f>
        <v>0</v>
      </c>
      <c r="K262" s="19">
        <v>0</v>
      </c>
      <c r="L262" s="38">
        <v>0</v>
      </c>
      <c r="M262" s="50">
        <v>0</v>
      </c>
      <c r="N262" s="38">
        <v>0</v>
      </c>
      <c r="O262" s="18">
        <f>SUM(Q262:S262)</f>
        <v>0</v>
      </c>
      <c r="P262" s="19">
        <v>0</v>
      </c>
      <c r="Q262" s="38">
        <v>0</v>
      </c>
      <c r="R262" s="38">
        <v>0</v>
      </c>
      <c r="S262" s="38">
        <v>0</v>
      </c>
      <c r="T262" s="18">
        <f>SUM(U262:X262)</f>
        <v>1149.4000000000001</v>
      </c>
      <c r="U262" s="19">
        <v>0</v>
      </c>
      <c r="V262" s="38">
        <v>0</v>
      </c>
      <c r="W262" s="38">
        <v>1149.4000000000001</v>
      </c>
      <c r="X262" s="38">
        <v>0</v>
      </c>
      <c r="Y262" s="18">
        <f>SUM(Z262:AC262)</f>
        <v>0</v>
      </c>
      <c r="Z262" s="19">
        <v>0</v>
      </c>
      <c r="AA262" s="38">
        <v>0</v>
      </c>
      <c r="AB262" s="38">
        <v>0</v>
      </c>
      <c r="AC262" s="38">
        <v>0</v>
      </c>
      <c r="AD262" s="18">
        <f>SUM(AE262:AH262)</f>
        <v>0</v>
      </c>
      <c r="AE262" s="19">
        <v>0</v>
      </c>
      <c r="AF262" s="38">
        <v>0</v>
      </c>
      <c r="AG262" s="38">
        <v>0</v>
      </c>
      <c r="AH262" s="38">
        <v>0</v>
      </c>
      <c r="AI262" s="18">
        <f>SUM(AJ262:AM262)</f>
        <v>0</v>
      </c>
      <c r="AJ262" s="19">
        <v>0</v>
      </c>
      <c r="AK262" s="38">
        <v>0</v>
      </c>
      <c r="AL262" s="38">
        <v>0</v>
      </c>
      <c r="AM262" s="38">
        <v>0</v>
      </c>
    </row>
    <row r="263" spans="1:39" s="5" customFormat="1" ht="39" customHeight="1" outlineLevel="1" x14ac:dyDescent="0.25">
      <c r="A263" s="138" t="s">
        <v>192</v>
      </c>
      <c r="B263" s="173" t="s">
        <v>40</v>
      </c>
      <c r="C263" s="174"/>
      <c r="D263" s="174"/>
      <c r="E263" s="18">
        <f>SUM(E264:E275)</f>
        <v>70616.615705600008</v>
      </c>
      <c r="F263" s="18">
        <f t="shared" ref="F263:AM263" si="213">SUM(F264:F275)</f>
        <v>0</v>
      </c>
      <c r="G263" s="18">
        <f t="shared" si="213"/>
        <v>32207.7</v>
      </c>
      <c r="H263" s="18">
        <f t="shared" si="213"/>
        <v>37988.515705600003</v>
      </c>
      <c r="I263" s="18">
        <f t="shared" si="213"/>
        <v>420.40000000000003</v>
      </c>
      <c r="J263" s="18">
        <f t="shared" si="213"/>
        <v>37628.9</v>
      </c>
      <c r="K263" s="18">
        <f t="shared" si="213"/>
        <v>0</v>
      </c>
      <c r="L263" s="18">
        <f t="shared" si="213"/>
        <v>10000</v>
      </c>
      <c r="M263" s="18">
        <f t="shared" si="213"/>
        <v>27280.799999999999</v>
      </c>
      <c r="N263" s="18">
        <f t="shared" si="213"/>
        <v>348.1</v>
      </c>
      <c r="O263" s="18">
        <f t="shared" si="213"/>
        <v>12426.300000000001</v>
      </c>
      <c r="P263" s="18">
        <f t="shared" si="213"/>
        <v>0</v>
      </c>
      <c r="Q263" s="18">
        <f>SUM(Q264:Q275)</f>
        <v>10000</v>
      </c>
      <c r="R263" s="18">
        <f t="shared" si="213"/>
        <v>2370.1999999999998</v>
      </c>
      <c r="S263" s="18">
        <f t="shared" si="213"/>
        <v>56.1</v>
      </c>
      <c r="T263" s="18">
        <f>SUM(T264:T275)</f>
        <v>15219.300000000001</v>
      </c>
      <c r="U263" s="18">
        <f t="shared" si="213"/>
        <v>0</v>
      </c>
      <c r="V263" s="18">
        <f t="shared" si="213"/>
        <v>12207.7</v>
      </c>
      <c r="W263" s="18">
        <f>SUM(W264:W275)</f>
        <v>2995.4000000000005</v>
      </c>
      <c r="X263" s="18">
        <f t="shared" si="213"/>
        <v>16.2</v>
      </c>
      <c r="Y263" s="18">
        <f t="shared" si="213"/>
        <v>1734.5157056</v>
      </c>
      <c r="Z263" s="18">
        <f t="shared" si="213"/>
        <v>0</v>
      </c>
      <c r="AA263" s="18">
        <f t="shared" si="213"/>
        <v>0</v>
      </c>
      <c r="AB263" s="18">
        <f t="shared" si="213"/>
        <v>1734.5157056</v>
      </c>
      <c r="AC263" s="18">
        <f t="shared" si="213"/>
        <v>0</v>
      </c>
      <c r="AD263" s="18">
        <f t="shared" si="213"/>
        <v>1803.8000000000002</v>
      </c>
      <c r="AE263" s="18">
        <f t="shared" si="213"/>
        <v>0</v>
      </c>
      <c r="AF263" s="18">
        <f t="shared" si="213"/>
        <v>0</v>
      </c>
      <c r="AG263" s="18">
        <f t="shared" si="213"/>
        <v>1803.8000000000002</v>
      </c>
      <c r="AH263" s="18">
        <f t="shared" si="213"/>
        <v>0</v>
      </c>
      <c r="AI263" s="18">
        <f t="shared" si="213"/>
        <v>1803.8000000000002</v>
      </c>
      <c r="AJ263" s="18">
        <f t="shared" si="213"/>
        <v>0</v>
      </c>
      <c r="AK263" s="18">
        <f t="shared" si="213"/>
        <v>0</v>
      </c>
      <c r="AL263" s="18">
        <f t="shared" si="213"/>
        <v>1803.8000000000002</v>
      </c>
      <c r="AM263" s="18">
        <f t="shared" si="213"/>
        <v>0</v>
      </c>
    </row>
    <row r="264" spans="1:39" s="2" customFormat="1" ht="78.75" outlineLevel="2" x14ac:dyDescent="0.25">
      <c r="A264" s="8" t="s">
        <v>105</v>
      </c>
      <c r="B264" s="32" t="s">
        <v>39</v>
      </c>
      <c r="C264" s="26" t="s">
        <v>377</v>
      </c>
      <c r="D264" s="26" t="s">
        <v>118</v>
      </c>
      <c r="E264" s="20">
        <f t="shared" ref="E264:E284" si="214">SUM(F264:I264)</f>
        <v>2244.7000000000003</v>
      </c>
      <c r="F264" s="38">
        <f t="shared" ref="F264:F275" si="215">K264+P264+U264</f>
        <v>0</v>
      </c>
      <c r="G264" s="38">
        <f>L264+Q264+V264+AA264+AF264+AK264</f>
        <v>0</v>
      </c>
      <c r="H264" s="38">
        <f>M264+R264+W264+AB264+AG264+AL264</f>
        <v>2244.7000000000003</v>
      </c>
      <c r="I264" s="38">
        <f t="shared" ref="I264:I284" si="216">N264+S264+X264+AC264+AH264+AM264</f>
        <v>0</v>
      </c>
      <c r="J264" s="18">
        <f t="shared" ref="J264:J284" si="217">SUM(K264:N264)</f>
        <v>2244.7000000000003</v>
      </c>
      <c r="K264" s="19">
        <v>0</v>
      </c>
      <c r="L264" s="19">
        <f>3747.9-3747.9</f>
        <v>0</v>
      </c>
      <c r="M264" s="19">
        <f>3747.9+115.9-1619.1</f>
        <v>2244.7000000000003</v>
      </c>
      <c r="N264" s="19">
        <v>0</v>
      </c>
      <c r="O264" s="18">
        <f t="shared" ref="O264:O284" si="218">SUM(P264:S264)</f>
        <v>0</v>
      </c>
      <c r="P264" s="19">
        <v>0</v>
      </c>
      <c r="Q264" s="19">
        <v>0</v>
      </c>
      <c r="R264" s="19">
        <v>0</v>
      </c>
      <c r="S264" s="19">
        <v>0</v>
      </c>
      <c r="T264" s="18">
        <f t="shared" ref="T264:T284" si="219">SUM(U264:X264)</f>
        <v>0</v>
      </c>
      <c r="U264" s="19">
        <v>0</v>
      </c>
      <c r="V264" s="19">
        <v>0</v>
      </c>
      <c r="W264" s="19">
        <v>0</v>
      </c>
      <c r="X264" s="19">
        <v>0</v>
      </c>
      <c r="Y264" s="18">
        <f t="shared" ref="Y264:Y284" si="220">SUM(Z264:AC264)</f>
        <v>0</v>
      </c>
      <c r="Z264" s="19">
        <v>0</v>
      </c>
      <c r="AA264" s="19">
        <v>0</v>
      </c>
      <c r="AB264" s="19">
        <v>0</v>
      </c>
      <c r="AC264" s="19">
        <v>0</v>
      </c>
      <c r="AD264" s="18">
        <f>SUM(AE264:AH264)</f>
        <v>0</v>
      </c>
      <c r="AE264" s="19">
        <v>0</v>
      </c>
      <c r="AF264" s="19">
        <v>0</v>
      </c>
      <c r="AG264" s="19">
        <v>0</v>
      </c>
      <c r="AH264" s="19">
        <v>0</v>
      </c>
      <c r="AI264" s="18">
        <f>SUM(AJ264:AM264)</f>
        <v>0</v>
      </c>
      <c r="AJ264" s="19">
        <v>0</v>
      </c>
      <c r="AK264" s="19">
        <v>0</v>
      </c>
      <c r="AL264" s="19">
        <v>0</v>
      </c>
      <c r="AM264" s="19">
        <v>0</v>
      </c>
    </row>
    <row r="265" spans="1:39" s="2" customFormat="1" ht="94.5" outlineLevel="2" x14ac:dyDescent="0.25">
      <c r="A265" s="8" t="s">
        <v>368</v>
      </c>
      <c r="B265" s="49" t="s">
        <v>429</v>
      </c>
      <c r="C265" s="26" t="s">
        <v>377</v>
      </c>
      <c r="D265" s="31" t="s">
        <v>41</v>
      </c>
      <c r="E265" s="20">
        <f t="shared" si="214"/>
        <v>6140.7999999999993</v>
      </c>
      <c r="F265" s="38">
        <f t="shared" si="215"/>
        <v>0</v>
      </c>
      <c r="G265" s="38">
        <f t="shared" ref="G265:G284" si="221">L265+Q265+V265+AA265+AF265+AK265</f>
        <v>5897</v>
      </c>
      <c r="H265" s="38">
        <f t="shared" ref="H265:H284" si="222">M265+R265+W265+AB265+AG265+AL265</f>
        <v>182.4</v>
      </c>
      <c r="I265" s="38">
        <f t="shared" si="216"/>
        <v>61.4</v>
      </c>
      <c r="J265" s="18">
        <f t="shared" si="217"/>
        <v>6140.7999999999993</v>
      </c>
      <c r="K265" s="19">
        <v>0</v>
      </c>
      <c r="L265" s="19">
        <v>5897</v>
      </c>
      <c r="M265" s="51">
        <v>182.4</v>
      </c>
      <c r="N265" s="19">
        <v>61.4</v>
      </c>
      <c r="O265" s="18">
        <f t="shared" si="218"/>
        <v>0</v>
      </c>
      <c r="P265" s="19">
        <v>0</v>
      </c>
      <c r="Q265" s="19">
        <v>0</v>
      </c>
      <c r="R265" s="19">
        <v>0</v>
      </c>
      <c r="S265" s="19">
        <v>0</v>
      </c>
      <c r="T265" s="18">
        <f t="shared" si="219"/>
        <v>0</v>
      </c>
      <c r="U265" s="19">
        <v>0</v>
      </c>
      <c r="V265" s="19">
        <v>0</v>
      </c>
      <c r="W265" s="19">
        <v>0</v>
      </c>
      <c r="X265" s="19">
        <v>0</v>
      </c>
      <c r="Y265" s="18">
        <f t="shared" si="220"/>
        <v>0</v>
      </c>
      <c r="Z265" s="19">
        <v>0</v>
      </c>
      <c r="AA265" s="19">
        <v>0</v>
      </c>
      <c r="AB265" s="19">
        <v>0</v>
      </c>
      <c r="AC265" s="19">
        <v>0</v>
      </c>
      <c r="AD265" s="18">
        <f t="shared" ref="AD265:AD284" si="223">SUM(AE265:AH265)</f>
        <v>0</v>
      </c>
      <c r="AE265" s="19">
        <v>0</v>
      </c>
      <c r="AF265" s="19">
        <v>0</v>
      </c>
      <c r="AG265" s="19">
        <v>0</v>
      </c>
      <c r="AH265" s="19">
        <v>0</v>
      </c>
      <c r="AI265" s="18">
        <f t="shared" ref="AI265:AI284" si="224">SUM(AJ265:AM265)</f>
        <v>0</v>
      </c>
      <c r="AJ265" s="19">
        <v>0</v>
      </c>
      <c r="AK265" s="19">
        <v>0</v>
      </c>
      <c r="AL265" s="19">
        <v>0</v>
      </c>
      <c r="AM265" s="19">
        <v>0</v>
      </c>
    </row>
    <row r="266" spans="1:39" s="2" customFormat="1" ht="47.25" outlineLevel="2" x14ac:dyDescent="0.25">
      <c r="A266" s="8" t="s">
        <v>453</v>
      </c>
      <c r="B266" s="52" t="s">
        <v>398</v>
      </c>
      <c r="C266" s="26" t="s">
        <v>32</v>
      </c>
      <c r="D266" s="31" t="s">
        <v>41</v>
      </c>
      <c r="E266" s="20">
        <f t="shared" si="214"/>
        <v>1497</v>
      </c>
      <c r="F266" s="38">
        <f t="shared" si="215"/>
        <v>0</v>
      </c>
      <c r="G266" s="38">
        <f t="shared" si="221"/>
        <v>1218.2</v>
      </c>
      <c r="H266" s="38">
        <f t="shared" si="222"/>
        <v>263.8</v>
      </c>
      <c r="I266" s="38">
        <f t="shared" si="216"/>
        <v>15</v>
      </c>
      <c r="J266" s="18">
        <f t="shared" si="217"/>
        <v>1497</v>
      </c>
      <c r="K266" s="19">
        <v>0</v>
      </c>
      <c r="L266" s="19">
        <v>1218.2</v>
      </c>
      <c r="M266" s="51">
        <f>37.7+226.1</f>
        <v>263.8</v>
      </c>
      <c r="N266" s="19">
        <f>12.7+2.3</f>
        <v>15</v>
      </c>
      <c r="O266" s="18">
        <f t="shared" si="218"/>
        <v>0</v>
      </c>
      <c r="P266" s="19">
        <v>0</v>
      </c>
      <c r="Q266" s="19">
        <v>0</v>
      </c>
      <c r="R266" s="19">
        <v>0</v>
      </c>
      <c r="S266" s="19">
        <v>0</v>
      </c>
      <c r="T266" s="18">
        <f t="shared" si="219"/>
        <v>0</v>
      </c>
      <c r="U266" s="19">
        <v>0</v>
      </c>
      <c r="V266" s="19">
        <v>0</v>
      </c>
      <c r="W266" s="19">
        <v>0</v>
      </c>
      <c r="X266" s="19">
        <v>0</v>
      </c>
      <c r="Y266" s="18">
        <f t="shared" si="220"/>
        <v>0</v>
      </c>
      <c r="Z266" s="19">
        <v>0</v>
      </c>
      <c r="AA266" s="19">
        <v>0</v>
      </c>
      <c r="AB266" s="19">
        <v>0</v>
      </c>
      <c r="AC266" s="19">
        <v>0</v>
      </c>
      <c r="AD266" s="18">
        <f t="shared" si="223"/>
        <v>0</v>
      </c>
      <c r="AE266" s="19">
        <v>0</v>
      </c>
      <c r="AF266" s="19">
        <v>0</v>
      </c>
      <c r="AG266" s="19">
        <v>0</v>
      </c>
      <c r="AH266" s="19">
        <v>0</v>
      </c>
      <c r="AI266" s="18">
        <f t="shared" si="224"/>
        <v>0</v>
      </c>
      <c r="AJ266" s="19">
        <v>0</v>
      </c>
      <c r="AK266" s="19">
        <v>0</v>
      </c>
      <c r="AL266" s="19">
        <v>0</v>
      </c>
      <c r="AM266" s="19">
        <v>0</v>
      </c>
    </row>
    <row r="267" spans="1:39" s="2" customFormat="1" ht="63" outlineLevel="2" x14ac:dyDescent="0.25">
      <c r="A267" s="8" t="s">
        <v>454</v>
      </c>
      <c r="B267" s="52" t="s">
        <v>430</v>
      </c>
      <c r="C267" s="26" t="s">
        <v>32</v>
      </c>
      <c r="D267" s="31" t="s">
        <v>41</v>
      </c>
      <c r="E267" s="20">
        <f t="shared" si="214"/>
        <v>1960.8</v>
      </c>
      <c r="F267" s="38">
        <f t="shared" si="215"/>
        <v>0</v>
      </c>
      <c r="G267" s="38">
        <f t="shared" si="221"/>
        <v>1883</v>
      </c>
      <c r="H267" s="38">
        <f t="shared" si="222"/>
        <v>58.2</v>
      </c>
      <c r="I267" s="38">
        <f t="shared" si="216"/>
        <v>19.600000000000001</v>
      </c>
      <c r="J267" s="18">
        <f t="shared" si="217"/>
        <v>1960.8</v>
      </c>
      <c r="K267" s="19">
        <v>0</v>
      </c>
      <c r="L267" s="19">
        <v>1883</v>
      </c>
      <c r="M267" s="51">
        <v>58.2</v>
      </c>
      <c r="N267" s="19">
        <v>19.600000000000001</v>
      </c>
      <c r="O267" s="18">
        <f t="shared" si="218"/>
        <v>0</v>
      </c>
      <c r="P267" s="19">
        <v>0</v>
      </c>
      <c r="Q267" s="19">
        <v>0</v>
      </c>
      <c r="R267" s="19">
        <v>0</v>
      </c>
      <c r="S267" s="19">
        <v>0</v>
      </c>
      <c r="T267" s="18">
        <f t="shared" si="219"/>
        <v>0</v>
      </c>
      <c r="U267" s="19">
        <v>0</v>
      </c>
      <c r="V267" s="19">
        <v>0</v>
      </c>
      <c r="W267" s="19">
        <v>0</v>
      </c>
      <c r="X267" s="19">
        <v>0</v>
      </c>
      <c r="Y267" s="18">
        <f t="shared" si="220"/>
        <v>0</v>
      </c>
      <c r="Z267" s="19">
        <v>0</v>
      </c>
      <c r="AA267" s="19">
        <v>0</v>
      </c>
      <c r="AB267" s="19">
        <v>0</v>
      </c>
      <c r="AC267" s="19">
        <v>0</v>
      </c>
      <c r="AD267" s="18">
        <f t="shared" si="223"/>
        <v>0</v>
      </c>
      <c r="AE267" s="19">
        <v>0</v>
      </c>
      <c r="AF267" s="19">
        <v>0</v>
      </c>
      <c r="AG267" s="19">
        <v>0</v>
      </c>
      <c r="AH267" s="19">
        <v>0</v>
      </c>
      <c r="AI267" s="18">
        <f t="shared" si="224"/>
        <v>0</v>
      </c>
      <c r="AJ267" s="19">
        <v>0</v>
      </c>
      <c r="AK267" s="19">
        <v>0</v>
      </c>
      <c r="AL267" s="19">
        <v>0</v>
      </c>
      <c r="AM267" s="19">
        <v>0</v>
      </c>
    </row>
    <row r="268" spans="1:39" s="2" customFormat="1" ht="116.25" customHeight="1" outlineLevel="2" x14ac:dyDescent="0.25">
      <c r="A268" s="8" t="s">
        <v>455</v>
      </c>
      <c r="B268" s="52" t="s">
        <v>399</v>
      </c>
      <c r="C268" s="26" t="s">
        <v>32</v>
      </c>
      <c r="D268" s="31" t="s">
        <v>41</v>
      </c>
      <c r="E268" s="20">
        <f t="shared" si="214"/>
        <v>1860.2999999999997</v>
      </c>
      <c r="F268" s="38">
        <f t="shared" si="215"/>
        <v>0</v>
      </c>
      <c r="G268" s="38">
        <f t="shared" si="221"/>
        <v>1001.8</v>
      </c>
      <c r="H268" s="38">
        <f t="shared" si="222"/>
        <v>839.9</v>
      </c>
      <c r="I268" s="38">
        <f t="shared" si="216"/>
        <v>18.600000000000001</v>
      </c>
      <c r="J268" s="18">
        <f t="shared" si="217"/>
        <v>1860.2999999999997</v>
      </c>
      <c r="K268" s="19">
        <v>0</v>
      </c>
      <c r="L268" s="19">
        <v>1001.8</v>
      </c>
      <c r="M268" s="51">
        <v>839.9</v>
      </c>
      <c r="N268" s="19">
        <v>18.600000000000001</v>
      </c>
      <c r="O268" s="18">
        <f t="shared" si="218"/>
        <v>0</v>
      </c>
      <c r="P268" s="19">
        <v>0</v>
      </c>
      <c r="Q268" s="19">
        <v>0</v>
      </c>
      <c r="R268" s="19">
        <v>0</v>
      </c>
      <c r="S268" s="19">
        <v>0</v>
      </c>
      <c r="T268" s="18">
        <f t="shared" si="219"/>
        <v>0</v>
      </c>
      <c r="U268" s="19">
        <v>0</v>
      </c>
      <c r="V268" s="19">
        <v>0</v>
      </c>
      <c r="W268" s="19">
        <v>0</v>
      </c>
      <c r="X268" s="19">
        <v>0</v>
      </c>
      <c r="Y268" s="18">
        <f t="shared" si="220"/>
        <v>0</v>
      </c>
      <c r="Z268" s="19">
        <v>0</v>
      </c>
      <c r="AA268" s="19">
        <v>0</v>
      </c>
      <c r="AB268" s="19">
        <v>0</v>
      </c>
      <c r="AC268" s="19">
        <v>0</v>
      </c>
      <c r="AD268" s="18">
        <f t="shared" si="223"/>
        <v>0</v>
      </c>
      <c r="AE268" s="19">
        <v>0</v>
      </c>
      <c r="AF268" s="19">
        <v>0</v>
      </c>
      <c r="AG268" s="19">
        <v>0</v>
      </c>
      <c r="AH268" s="19">
        <v>0</v>
      </c>
      <c r="AI268" s="18">
        <f t="shared" si="224"/>
        <v>0</v>
      </c>
      <c r="AJ268" s="19">
        <v>0</v>
      </c>
      <c r="AK268" s="19">
        <v>0</v>
      </c>
      <c r="AL268" s="19">
        <v>0</v>
      </c>
      <c r="AM268" s="19">
        <v>0</v>
      </c>
    </row>
    <row r="269" spans="1:39" s="2" customFormat="1" ht="63" outlineLevel="2" x14ac:dyDescent="0.25">
      <c r="A269" s="8" t="s">
        <v>419</v>
      </c>
      <c r="B269" s="52" t="s">
        <v>432</v>
      </c>
      <c r="C269" s="26" t="s">
        <v>32</v>
      </c>
      <c r="D269" s="31" t="s">
        <v>41</v>
      </c>
      <c r="E269" s="20">
        <f t="shared" si="214"/>
        <v>23355</v>
      </c>
      <c r="F269" s="38">
        <f t="shared" si="215"/>
        <v>0</v>
      </c>
      <c r="G269" s="38">
        <f t="shared" si="221"/>
        <v>0</v>
      </c>
      <c r="H269" s="38">
        <f t="shared" si="222"/>
        <v>23121.5</v>
      </c>
      <c r="I269" s="38">
        <f t="shared" si="216"/>
        <v>233.5</v>
      </c>
      <c r="J269" s="18">
        <f t="shared" si="217"/>
        <v>23355</v>
      </c>
      <c r="K269" s="19">
        <v>0</v>
      </c>
      <c r="L269" s="19">
        <v>0</v>
      </c>
      <c r="M269" s="51">
        <v>23121.5</v>
      </c>
      <c r="N269" s="19">
        <v>233.5</v>
      </c>
      <c r="O269" s="18">
        <f t="shared" si="218"/>
        <v>0</v>
      </c>
      <c r="P269" s="19">
        <v>0</v>
      </c>
      <c r="Q269" s="19">
        <v>0</v>
      </c>
      <c r="R269" s="19">
        <v>0</v>
      </c>
      <c r="S269" s="19">
        <v>0</v>
      </c>
      <c r="T269" s="18">
        <f t="shared" si="219"/>
        <v>0</v>
      </c>
      <c r="U269" s="19">
        <v>0</v>
      </c>
      <c r="V269" s="19">
        <v>0</v>
      </c>
      <c r="W269" s="19">
        <v>0</v>
      </c>
      <c r="X269" s="19">
        <v>0</v>
      </c>
      <c r="Y269" s="18">
        <f t="shared" si="220"/>
        <v>0</v>
      </c>
      <c r="Z269" s="19">
        <v>0</v>
      </c>
      <c r="AA269" s="19">
        <v>0</v>
      </c>
      <c r="AB269" s="19">
        <v>0</v>
      </c>
      <c r="AC269" s="19">
        <v>0</v>
      </c>
      <c r="AD269" s="18">
        <f t="shared" si="223"/>
        <v>0</v>
      </c>
      <c r="AE269" s="19">
        <v>0</v>
      </c>
      <c r="AF269" s="19">
        <v>0</v>
      </c>
      <c r="AG269" s="19">
        <v>0</v>
      </c>
      <c r="AH269" s="19">
        <v>0</v>
      </c>
      <c r="AI269" s="18">
        <f t="shared" si="224"/>
        <v>0</v>
      </c>
      <c r="AJ269" s="19">
        <v>0</v>
      </c>
      <c r="AK269" s="19">
        <v>0</v>
      </c>
      <c r="AL269" s="19">
        <v>0</v>
      </c>
      <c r="AM269" s="19">
        <v>0</v>
      </c>
    </row>
    <row r="270" spans="1:39" s="2" customFormat="1" ht="63" outlineLevel="2" x14ac:dyDescent="0.25">
      <c r="A270" s="8" t="s">
        <v>420</v>
      </c>
      <c r="B270" s="104" t="s">
        <v>742</v>
      </c>
      <c r="C270" s="26" t="s">
        <v>32</v>
      </c>
      <c r="D270" s="31" t="s">
        <v>41</v>
      </c>
      <c r="E270" s="20">
        <f t="shared" si="214"/>
        <v>3800.6</v>
      </c>
      <c r="F270" s="38">
        <f t="shared" si="215"/>
        <v>0</v>
      </c>
      <c r="G270" s="38">
        <f t="shared" ref="G270:I274" si="225">L270+Q270+V270+AA270+AF270+AK270</f>
        <v>3648.4</v>
      </c>
      <c r="H270" s="38">
        <f t="shared" si="225"/>
        <v>114.1</v>
      </c>
      <c r="I270" s="38">
        <f t="shared" si="225"/>
        <v>38.1</v>
      </c>
      <c r="J270" s="18">
        <f t="shared" si="217"/>
        <v>0</v>
      </c>
      <c r="K270" s="19">
        <v>0</v>
      </c>
      <c r="L270" s="19">
        <v>0</v>
      </c>
      <c r="M270" s="51">
        <v>0</v>
      </c>
      <c r="N270" s="19">
        <v>0</v>
      </c>
      <c r="O270" s="18">
        <f>Q270+R270+S270</f>
        <v>3800.6</v>
      </c>
      <c r="P270" s="19">
        <v>0</v>
      </c>
      <c r="Q270" s="19">
        <v>3648.4</v>
      </c>
      <c r="R270" s="19">
        <v>114.1</v>
      </c>
      <c r="S270" s="19">
        <v>38.1</v>
      </c>
      <c r="T270" s="18">
        <f t="shared" si="219"/>
        <v>0</v>
      </c>
      <c r="U270" s="19">
        <v>0</v>
      </c>
      <c r="V270" s="19">
        <v>0</v>
      </c>
      <c r="W270" s="19">
        <v>0</v>
      </c>
      <c r="X270" s="19">
        <v>0</v>
      </c>
      <c r="Y270" s="18">
        <f t="shared" si="220"/>
        <v>0</v>
      </c>
      <c r="Z270" s="19">
        <v>0</v>
      </c>
      <c r="AA270" s="19">
        <v>0</v>
      </c>
      <c r="AB270" s="19">
        <v>0</v>
      </c>
      <c r="AC270" s="19">
        <v>0</v>
      </c>
      <c r="AD270" s="18">
        <f t="shared" si="223"/>
        <v>0</v>
      </c>
      <c r="AE270" s="19">
        <v>0</v>
      </c>
      <c r="AF270" s="19">
        <v>0</v>
      </c>
      <c r="AG270" s="19">
        <v>0</v>
      </c>
      <c r="AH270" s="19">
        <v>0</v>
      </c>
      <c r="AI270" s="18">
        <f>SUM(AJ270:AM270)</f>
        <v>0</v>
      </c>
      <c r="AJ270" s="19">
        <v>0</v>
      </c>
      <c r="AK270" s="19">
        <v>0</v>
      </c>
      <c r="AL270" s="19">
        <v>0</v>
      </c>
      <c r="AM270" s="19">
        <v>0</v>
      </c>
    </row>
    <row r="271" spans="1:39" s="2" customFormat="1" ht="57" customHeight="1" outlineLevel="2" x14ac:dyDescent="0.25">
      <c r="A271" s="8" t="s">
        <v>456</v>
      </c>
      <c r="B271" s="104" t="s">
        <v>743</v>
      </c>
      <c r="C271" s="26" t="s">
        <v>32</v>
      </c>
      <c r="D271" s="31" t="s">
        <v>41</v>
      </c>
      <c r="E271" s="20">
        <f t="shared" si="214"/>
        <v>1795.8</v>
      </c>
      <c r="F271" s="38">
        <f t="shared" si="215"/>
        <v>0</v>
      </c>
      <c r="G271" s="38">
        <f t="shared" si="225"/>
        <v>1276.3</v>
      </c>
      <c r="H271" s="38">
        <f t="shared" si="225"/>
        <v>501.5</v>
      </c>
      <c r="I271" s="38">
        <f t="shared" si="225"/>
        <v>18</v>
      </c>
      <c r="J271" s="18">
        <f t="shared" si="217"/>
        <v>0</v>
      </c>
      <c r="K271" s="19">
        <v>0</v>
      </c>
      <c r="L271" s="19">
        <v>0</v>
      </c>
      <c r="M271" s="51">
        <v>0</v>
      </c>
      <c r="N271" s="19">
        <v>0</v>
      </c>
      <c r="O271" s="18">
        <f>Q271+R271+S271</f>
        <v>1795.8</v>
      </c>
      <c r="P271" s="19">
        <v>0</v>
      </c>
      <c r="Q271" s="19">
        <v>1276.3</v>
      </c>
      <c r="R271" s="19">
        <v>501.5</v>
      </c>
      <c r="S271" s="19">
        <v>18</v>
      </c>
      <c r="T271" s="18">
        <f t="shared" si="219"/>
        <v>0</v>
      </c>
      <c r="U271" s="19">
        <v>0</v>
      </c>
      <c r="V271" s="19">
        <v>0</v>
      </c>
      <c r="W271" s="19">
        <v>0</v>
      </c>
      <c r="X271" s="19">
        <v>0</v>
      </c>
      <c r="Y271" s="18">
        <f t="shared" si="220"/>
        <v>0</v>
      </c>
      <c r="Z271" s="19">
        <v>0</v>
      </c>
      <c r="AA271" s="19">
        <v>0</v>
      </c>
      <c r="AB271" s="19">
        <v>0</v>
      </c>
      <c r="AC271" s="19">
        <v>0</v>
      </c>
      <c r="AD271" s="18">
        <f t="shared" si="223"/>
        <v>0</v>
      </c>
      <c r="AE271" s="19">
        <v>0</v>
      </c>
      <c r="AF271" s="19">
        <v>0</v>
      </c>
      <c r="AG271" s="19">
        <v>0</v>
      </c>
      <c r="AH271" s="19">
        <v>0</v>
      </c>
      <c r="AI271" s="18">
        <f>SUM(AJ271:AM271)</f>
        <v>0</v>
      </c>
      <c r="AJ271" s="19">
        <v>0</v>
      </c>
      <c r="AK271" s="19">
        <v>0</v>
      </c>
      <c r="AL271" s="19">
        <v>0</v>
      </c>
      <c r="AM271" s="19">
        <v>0</v>
      </c>
    </row>
    <row r="272" spans="1:39" s="2" customFormat="1" ht="31.5" outlineLevel="2" x14ac:dyDescent="0.25">
      <c r="A272" s="8" t="s">
        <v>751</v>
      </c>
      <c r="B272" s="104" t="s">
        <v>752</v>
      </c>
      <c r="C272" s="26" t="s">
        <v>32</v>
      </c>
      <c r="D272" s="31" t="s">
        <v>118</v>
      </c>
      <c r="E272" s="20">
        <f>SUM(F272:I272)</f>
        <v>5232.3</v>
      </c>
      <c r="F272" s="38">
        <f t="shared" si="215"/>
        <v>0</v>
      </c>
      <c r="G272" s="38">
        <f t="shared" si="225"/>
        <v>5075.3</v>
      </c>
      <c r="H272" s="38">
        <f t="shared" si="225"/>
        <v>157</v>
      </c>
      <c r="I272" s="38">
        <f t="shared" si="225"/>
        <v>0</v>
      </c>
      <c r="J272" s="18">
        <f t="shared" si="217"/>
        <v>0</v>
      </c>
      <c r="K272" s="19">
        <v>0</v>
      </c>
      <c r="L272" s="19">
        <v>0</v>
      </c>
      <c r="M272" s="51">
        <v>0</v>
      </c>
      <c r="N272" s="19">
        <v>0</v>
      </c>
      <c r="O272" s="18">
        <f>Q272+R272+S272</f>
        <v>5232.3</v>
      </c>
      <c r="P272" s="19">
        <v>0</v>
      </c>
      <c r="Q272" s="19">
        <v>5075.3</v>
      </c>
      <c r="R272" s="19">
        <v>157</v>
      </c>
      <c r="S272" s="19">
        <v>0</v>
      </c>
      <c r="T272" s="18">
        <f t="shared" si="219"/>
        <v>0</v>
      </c>
      <c r="U272" s="19">
        <v>0</v>
      </c>
      <c r="V272" s="19">
        <v>0</v>
      </c>
      <c r="W272" s="19">
        <v>0</v>
      </c>
      <c r="X272" s="19">
        <v>0</v>
      </c>
      <c r="Y272" s="18">
        <f t="shared" si="220"/>
        <v>0</v>
      </c>
      <c r="Z272" s="19">
        <v>0</v>
      </c>
      <c r="AA272" s="19">
        <v>0</v>
      </c>
      <c r="AB272" s="19">
        <v>0</v>
      </c>
      <c r="AC272" s="19">
        <v>0</v>
      </c>
      <c r="AD272" s="18">
        <f t="shared" si="223"/>
        <v>0</v>
      </c>
      <c r="AE272" s="19">
        <v>0</v>
      </c>
      <c r="AF272" s="19">
        <v>0</v>
      </c>
      <c r="AG272" s="19">
        <v>0</v>
      </c>
      <c r="AH272" s="19">
        <v>0</v>
      </c>
      <c r="AI272" s="18">
        <f>SUM(AJ272:AM272)</f>
        <v>0</v>
      </c>
      <c r="AJ272" s="19">
        <v>0</v>
      </c>
      <c r="AK272" s="19">
        <v>0</v>
      </c>
      <c r="AL272" s="19">
        <v>0</v>
      </c>
      <c r="AM272" s="19">
        <v>0</v>
      </c>
    </row>
    <row r="273" spans="1:39" s="2" customFormat="1" ht="47.25" outlineLevel="2" x14ac:dyDescent="0.25">
      <c r="A273" s="8" t="s">
        <v>767</v>
      </c>
      <c r="B273" s="104" t="s">
        <v>796</v>
      </c>
      <c r="C273" s="26" t="s">
        <v>32</v>
      </c>
      <c r="D273" s="26" t="s">
        <v>32</v>
      </c>
      <c r="E273" s="20">
        <f>SUM(F273:I273)</f>
        <v>12585.300000000001</v>
      </c>
      <c r="F273" s="38">
        <f t="shared" si="215"/>
        <v>0</v>
      </c>
      <c r="G273" s="38">
        <f t="shared" si="225"/>
        <v>12207.7</v>
      </c>
      <c r="H273" s="38">
        <f t="shared" si="225"/>
        <v>377.6</v>
      </c>
      <c r="I273" s="38">
        <f t="shared" si="225"/>
        <v>0</v>
      </c>
      <c r="J273" s="18">
        <f t="shared" si="217"/>
        <v>0</v>
      </c>
      <c r="K273" s="19">
        <v>0</v>
      </c>
      <c r="L273" s="19">
        <v>0</v>
      </c>
      <c r="M273" s="51">
        <v>0</v>
      </c>
      <c r="N273" s="19">
        <v>0</v>
      </c>
      <c r="O273" s="18"/>
      <c r="P273" s="19">
        <v>0</v>
      </c>
      <c r="Q273" s="19">
        <v>0</v>
      </c>
      <c r="R273" s="19">
        <v>0</v>
      </c>
      <c r="S273" s="19">
        <v>0</v>
      </c>
      <c r="T273" s="18">
        <f>V273+W273</f>
        <v>12585.300000000001</v>
      </c>
      <c r="U273" s="19"/>
      <c r="V273" s="19">
        <v>12207.7</v>
      </c>
      <c r="W273" s="19">
        <v>377.6</v>
      </c>
      <c r="X273" s="19">
        <v>0</v>
      </c>
      <c r="Y273" s="18">
        <f t="shared" si="220"/>
        <v>0</v>
      </c>
      <c r="Z273" s="19">
        <v>0</v>
      </c>
      <c r="AA273" s="19">
        <v>0</v>
      </c>
      <c r="AB273" s="19">
        <v>0</v>
      </c>
      <c r="AC273" s="19">
        <v>0</v>
      </c>
      <c r="AD273" s="18">
        <f t="shared" si="223"/>
        <v>0</v>
      </c>
      <c r="AE273" s="19">
        <v>0</v>
      </c>
      <c r="AF273" s="19">
        <v>0</v>
      </c>
      <c r="AG273" s="19">
        <v>0</v>
      </c>
      <c r="AH273" s="19">
        <v>0</v>
      </c>
      <c r="AI273" s="18">
        <f>SUM(AJ273:AM273)</f>
        <v>0</v>
      </c>
      <c r="AJ273" s="19">
        <v>0</v>
      </c>
      <c r="AK273" s="19">
        <v>0</v>
      </c>
      <c r="AL273" s="19">
        <v>0</v>
      </c>
      <c r="AM273" s="19">
        <v>0</v>
      </c>
    </row>
    <row r="274" spans="1:39" s="2" customFormat="1" ht="84" customHeight="1" outlineLevel="2" x14ac:dyDescent="0.25">
      <c r="A274" s="8" t="s">
        <v>837</v>
      </c>
      <c r="B274" s="123" t="s">
        <v>865</v>
      </c>
      <c r="C274" s="26" t="s">
        <v>32</v>
      </c>
      <c r="D274" s="31" t="s">
        <v>41</v>
      </c>
      <c r="E274" s="20">
        <f>SUM(F274:I274)</f>
        <v>1618.4</v>
      </c>
      <c r="F274" s="38">
        <f t="shared" si="215"/>
        <v>0</v>
      </c>
      <c r="G274" s="38">
        <f t="shared" si="225"/>
        <v>0</v>
      </c>
      <c r="H274" s="38">
        <f t="shared" si="225"/>
        <v>1602.2</v>
      </c>
      <c r="I274" s="38">
        <f t="shared" si="225"/>
        <v>16.2</v>
      </c>
      <c r="J274" s="18">
        <f>SUM(K274:N274)</f>
        <v>0</v>
      </c>
      <c r="K274" s="19">
        <v>0</v>
      </c>
      <c r="L274" s="19">
        <v>0</v>
      </c>
      <c r="M274" s="51">
        <v>0</v>
      </c>
      <c r="N274" s="19">
        <v>0</v>
      </c>
      <c r="O274" s="18"/>
      <c r="P274" s="19">
        <v>0</v>
      </c>
      <c r="Q274" s="19">
        <v>0</v>
      </c>
      <c r="R274" s="19">
        <v>0</v>
      </c>
      <c r="S274" s="19">
        <v>0</v>
      </c>
      <c r="T274" s="18">
        <f>V274+W274+X274</f>
        <v>1618.4</v>
      </c>
      <c r="U274" s="19"/>
      <c r="V274" s="19"/>
      <c r="W274" s="19">
        <v>1602.2</v>
      </c>
      <c r="X274" s="19">
        <v>16.2</v>
      </c>
      <c r="Y274" s="18"/>
      <c r="Z274" s="19"/>
      <c r="AA274" s="19"/>
      <c r="AB274" s="19"/>
      <c r="AC274" s="19"/>
      <c r="AD274" s="18"/>
      <c r="AE274" s="19"/>
      <c r="AF274" s="19"/>
      <c r="AG274" s="19"/>
      <c r="AH274" s="19"/>
      <c r="AI274" s="18"/>
      <c r="AJ274" s="19"/>
      <c r="AK274" s="19"/>
      <c r="AL274" s="19"/>
      <c r="AM274" s="19"/>
    </row>
    <row r="275" spans="1:39" s="2" customFormat="1" ht="45.75" customHeight="1" outlineLevel="2" x14ac:dyDescent="0.25">
      <c r="A275" s="8" t="s">
        <v>897</v>
      </c>
      <c r="B275" s="185" t="s">
        <v>725</v>
      </c>
      <c r="C275" s="186"/>
      <c r="D275" s="187"/>
      <c r="E275" s="20">
        <f>SUM(F275:I275)</f>
        <v>8525.6157056000011</v>
      </c>
      <c r="F275" s="20">
        <f t="shared" si="215"/>
        <v>0</v>
      </c>
      <c r="G275" s="20">
        <f>L275+Q275+V275+AA275+AF275+AK275</f>
        <v>0</v>
      </c>
      <c r="H275" s="20">
        <f t="shared" si="222"/>
        <v>8525.6157056000011</v>
      </c>
      <c r="I275" s="20">
        <f t="shared" si="216"/>
        <v>0</v>
      </c>
      <c r="J275" s="18">
        <f>SUM(K275:N275)</f>
        <v>570.29999999999995</v>
      </c>
      <c r="K275" s="18">
        <v>0</v>
      </c>
      <c r="L275" s="18">
        <v>0</v>
      </c>
      <c r="M275" s="18">
        <f>SUM(M276:M284)</f>
        <v>570.29999999999995</v>
      </c>
      <c r="N275" s="18">
        <v>0</v>
      </c>
      <c r="O275" s="18">
        <f t="shared" si="218"/>
        <v>1597.6</v>
      </c>
      <c r="P275" s="18">
        <v>0</v>
      </c>
      <c r="Q275" s="18">
        <f>SUM(Q276:Q284)</f>
        <v>0</v>
      </c>
      <c r="R275" s="18">
        <f>SUM(R276:R285)</f>
        <v>1597.6</v>
      </c>
      <c r="S275" s="18">
        <f t="shared" ref="S275:AM275" si="226">SUM(S276:S285)</f>
        <v>0</v>
      </c>
      <c r="T275" s="18">
        <f t="shared" si="226"/>
        <v>1015.6000000000001</v>
      </c>
      <c r="U275" s="18">
        <f t="shared" si="226"/>
        <v>0</v>
      </c>
      <c r="V275" s="18">
        <f t="shared" si="226"/>
        <v>0</v>
      </c>
      <c r="W275" s="18">
        <f>SUM(W276:W285)</f>
        <v>1015.6000000000001</v>
      </c>
      <c r="X275" s="18">
        <f t="shared" si="226"/>
        <v>0</v>
      </c>
      <c r="Y275" s="18">
        <f t="shared" si="226"/>
        <v>1734.5157056</v>
      </c>
      <c r="Z275" s="18">
        <f t="shared" si="226"/>
        <v>0</v>
      </c>
      <c r="AA275" s="18">
        <f t="shared" si="226"/>
        <v>0</v>
      </c>
      <c r="AB275" s="18">
        <f t="shared" si="226"/>
        <v>1734.5157056</v>
      </c>
      <c r="AC275" s="18">
        <f t="shared" si="226"/>
        <v>0</v>
      </c>
      <c r="AD275" s="18">
        <f t="shared" si="226"/>
        <v>1803.8000000000002</v>
      </c>
      <c r="AE275" s="18">
        <f t="shared" si="226"/>
        <v>0</v>
      </c>
      <c r="AF275" s="18">
        <f t="shared" si="226"/>
        <v>0</v>
      </c>
      <c r="AG275" s="18">
        <f t="shared" si="226"/>
        <v>1803.8000000000002</v>
      </c>
      <c r="AH275" s="18">
        <f t="shared" si="226"/>
        <v>0</v>
      </c>
      <c r="AI275" s="18">
        <f t="shared" si="226"/>
        <v>1803.8000000000002</v>
      </c>
      <c r="AJ275" s="18">
        <f t="shared" si="226"/>
        <v>0</v>
      </c>
      <c r="AK275" s="18">
        <f t="shared" si="226"/>
        <v>0</v>
      </c>
      <c r="AL275" s="18">
        <f t="shared" si="226"/>
        <v>1803.8000000000002</v>
      </c>
      <c r="AM275" s="18">
        <f t="shared" si="226"/>
        <v>0</v>
      </c>
    </row>
    <row r="276" spans="1:39" s="2" customFormat="1" ht="78.75" outlineLevel="2" x14ac:dyDescent="0.25">
      <c r="A276" s="8" t="s">
        <v>898</v>
      </c>
      <c r="B276" s="43" t="s">
        <v>61</v>
      </c>
      <c r="C276" s="26" t="s">
        <v>377</v>
      </c>
      <c r="D276" s="26" t="s">
        <v>118</v>
      </c>
      <c r="E276" s="20">
        <f>SUM(F276:I276)</f>
        <v>1589.1935552</v>
      </c>
      <c r="F276" s="38">
        <f t="shared" ref="F276:F284" si="227">K276+P276+U276</f>
        <v>0</v>
      </c>
      <c r="G276" s="38">
        <f t="shared" si="221"/>
        <v>0</v>
      </c>
      <c r="H276" s="38">
        <f>M276+R276+W276+AB276+AG276+AL276</f>
        <v>1589.1935552</v>
      </c>
      <c r="I276" s="38">
        <f t="shared" si="216"/>
        <v>0</v>
      </c>
      <c r="J276" s="18">
        <f t="shared" si="217"/>
        <v>139.30000000000001</v>
      </c>
      <c r="K276" s="18">
        <v>0</v>
      </c>
      <c r="L276" s="19">
        <v>0</v>
      </c>
      <c r="M276" s="51">
        <v>139.30000000000001</v>
      </c>
      <c r="N276" s="19">
        <v>0</v>
      </c>
      <c r="O276" s="18">
        <f t="shared" si="218"/>
        <v>277.39999999999998</v>
      </c>
      <c r="P276" s="18">
        <v>0</v>
      </c>
      <c r="Q276" s="19">
        <v>0</v>
      </c>
      <c r="R276" s="19">
        <v>277.39999999999998</v>
      </c>
      <c r="S276" s="19">
        <v>0</v>
      </c>
      <c r="T276" s="18">
        <f t="shared" si="219"/>
        <v>250.00000000000003</v>
      </c>
      <c r="U276" s="18">
        <v>0</v>
      </c>
      <c r="V276" s="19">
        <v>0</v>
      </c>
      <c r="W276" s="105">
        <f>289.1-39.1</f>
        <v>250.00000000000003</v>
      </c>
      <c r="X276" s="19">
        <v>0</v>
      </c>
      <c r="Y276" s="18">
        <f t="shared" si="220"/>
        <v>299.49355520000006</v>
      </c>
      <c r="Z276" s="18">
        <v>0</v>
      </c>
      <c r="AA276" s="19">
        <v>0</v>
      </c>
      <c r="AB276" s="111">
        <v>299.49355520000006</v>
      </c>
      <c r="AC276" s="19">
        <v>0</v>
      </c>
      <c r="AD276" s="18">
        <f t="shared" si="223"/>
        <v>311.5</v>
      </c>
      <c r="AE276" s="18">
        <v>0</v>
      </c>
      <c r="AF276" s="19">
        <v>0</v>
      </c>
      <c r="AG276" s="111">
        <v>311.5</v>
      </c>
      <c r="AH276" s="19">
        <v>0</v>
      </c>
      <c r="AI276" s="18">
        <f t="shared" si="224"/>
        <v>311.5</v>
      </c>
      <c r="AJ276" s="18">
        <v>0</v>
      </c>
      <c r="AK276" s="19">
        <v>0</v>
      </c>
      <c r="AL276" s="111">
        <v>311.5</v>
      </c>
      <c r="AM276" s="19">
        <v>0</v>
      </c>
    </row>
    <row r="277" spans="1:39" s="2" customFormat="1" ht="78.75" outlineLevel="2" x14ac:dyDescent="0.25">
      <c r="A277" s="8" t="s">
        <v>899</v>
      </c>
      <c r="B277" s="43" t="s">
        <v>58</v>
      </c>
      <c r="C277" s="26" t="s">
        <v>377</v>
      </c>
      <c r="D277" s="26" t="s">
        <v>118</v>
      </c>
      <c r="E277" s="20">
        <f t="shared" si="214"/>
        <v>206.60530560000001</v>
      </c>
      <c r="F277" s="38">
        <f t="shared" si="227"/>
        <v>0</v>
      </c>
      <c r="G277" s="38">
        <f t="shared" si="221"/>
        <v>0</v>
      </c>
      <c r="H277" s="38">
        <f t="shared" si="222"/>
        <v>206.60530560000001</v>
      </c>
      <c r="I277" s="38">
        <f t="shared" si="216"/>
        <v>0</v>
      </c>
      <c r="J277" s="18">
        <f t="shared" si="217"/>
        <v>52.9</v>
      </c>
      <c r="K277" s="18">
        <v>0</v>
      </c>
      <c r="L277" s="19">
        <v>0</v>
      </c>
      <c r="M277" s="51">
        <v>52.9</v>
      </c>
      <c r="N277" s="19">
        <v>0</v>
      </c>
      <c r="O277" s="18">
        <f t="shared" si="218"/>
        <v>28.3</v>
      </c>
      <c r="P277" s="18">
        <v>0</v>
      </c>
      <c r="Q277" s="19">
        <v>0</v>
      </c>
      <c r="R277" s="19">
        <v>28.3</v>
      </c>
      <c r="S277" s="19">
        <v>0</v>
      </c>
      <c r="T277" s="18">
        <f t="shared" si="219"/>
        <v>31.2</v>
      </c>
      <c r="U277" s="18">
        <v>0</v>
      </c>
      <c r="V277" s="19">
        <v>0</v>
      </c>
      <c r="W277" s="105">
        <f>29.5+1.7</f>
        <v>31.2</v>
      </c>
      <c r="X277" s="19">
        <v>0</v>
      </c>
      <c r="Y277" s="18">
        <f t="shared" si="220"/>
        <v>30.605305599999994</v>
      </c>
      <c r="Z277" s="18">
        <v>0</v>
      </c>
      <c r="AA277" s="19">
        <v>0</v>
      </c>
      <c r="AB277" s="111">
        <v>30.605305599999994</v>
      </c>
      <c r="AC277" s="19">
        <v>0</v>
      </c>
      <c r="AD277" s="18">
        <f t="shared" si="223"/>
        <v>31.8</v>
      </c>
      <c r="AE277" s="18">
        <v>0</v>
      </c>
      <c r="AF277" s="19">
        <v>0</v>
      </c>
      <c r="AG277" s="111">
        <v>31.8</v>
      </c>
      <c r="AH277" s="19">
        <v>0</v>
      </c>
      <c r="AI277" s="18">
        <f t="shared" si="224"/>
        <v>31.8</v>
      </c>
      <c r="AJ277" s="18">
        <v>0</v>
      </c>
      <c r="AK277" s="19">
        <v>0</v>
      </c>
      <c r="AL277" s="111">
        <v>31.8</v>
      </c>
      <c r="AM277" s="19">
        <v>0</v>
      </c>
    </row>
    <row r="278" spans="1:39" s="2" customFormat="1" ht="78.75" outlineLevel="2" x14ac:dyDescent="0.25">
      <c r="A278" s="8" t="s">
        <v>900</v>
      </c>
      <c r="B278" s="43" t="s">
        <v>55</v>
      </c>
      <c r="C278" s="26" t="s">
        <v>377</v>
      </c>
      <c r="D278" s="26" t="s">
        <v>118</v>
      </c>
      <c r="E278" s="20">
        <f t="shared" si="214"/>
        <v>299.79434240000001</v>
      </c>
      <c r="F278" s="38">
        <f t="shared" si="227"/>
        <v>0</v>
      </c>
      <c r="G278" s="38">
        <f t="shared" si="221"/>
        <v>0</v>
      </c>
      <c r="H278" s="38">
        <f t="shared" si="222"/>
        <v>299.79434240000001</v>
      </c>
      <c r="I278" s="38">
        <f t="shared" si="216"/>
        <v>0</v>
      </c>
      <c r="J278" s="18">
        <f t="shared" si="217"/>
        <v>41.6</v>
      </c>
      <c r="K278" s="18">
        <v>0</v>
      </c>
      <c r="L278" s="19">
        <v>0</v>
      </c>
      <c r="M278" s="51">
        <v>41.6</v>
      </c>
      <c r="N278" s="19">
        <v>0</v>
      </c>
      <c r="O278" s="18">
        <f t="shared" si="218"/>
        <v>42.3</v>
      </c>
      <c r="P278" s="18">
        <v>0</v>
      </c>
      <c r="Q278" s="19">
        <v>0</v>
      </c>
      <c r="R278" s="19">
        <v>42.3</v>
      </c>
      <c r="S278" s="19">
        <v>0</v>
      </c>
      <c r="T278" s="18">
        <f t="shared" si="219"/>
        <v>45.3</v>
      </c>
      <c r="U278" s="18">
        <v>0</v>
      </c>
      <c r="V278" s="19">
        <v>0</v>
      </c>
      <c r="W278" s="105">
        <v>45.3</v>
      </c>
      <c r="X278" s="19">
        <v>0</v>
      </c>
      <c r="Y278" s="18">
        <f t="shared" si="220"/>
        <v>55.394342399999999</v>
      </c>
      <c r="Z278" s="18">
        <v>0</v>
      </c>
      <c r="AA278" s="19">
        <v>0</v>
      </c>
      <c r="AB278" s="111">
        <v>55.394342399999999</v>
      </c>
      <c r="AC278" s="19">
        <v>0</v>
      </c>
      <c r="AD278" s="18">
        <f t="shared" si="223"/>
        <v>57.6</v>
      </c>
      <c r="AE278" s="18">
        <v>0</v>
      </c>
      <c r="AF278" s="19">
        <v>0</v>
      </c>
      <c r="AG278" s="111">
        <v>57.6</v>
      </c>
      <c r="AH278" s="19">
        <v>0</v>
      </c>
      <c r="AI278" s="18">
        <f t="shared" si="224"/>
        <v>57.6</v>
      </c>
      <c r="AJ278" s="18">
        <v>0</v>
      </c>
      <c r="AK278" s="19">
        <v>0</v>
      </c>
      <c r="AL278" s="111">
        <v>57.6</v>
      </c>
      <c r="AM278" s="19">
        <v>0</v>
      </c>
    </row>
    <row r="279" spans="1:39" s="2" customFormat="1" ht="78.75" outlineLevel="2" x14ac:dyDescent="0.25">
      <c r="A279" s="8" t="s">
        <v>901</v>
      </c>
      <c r="B279" s="43" t="s">
        <v>56</v>
      </c>
      <c r="C279" s="26" t="s">
        <v>377</v>
      </c>
      <c r="D279" s="26" t="s">
        <v>118</v>
      </c>
      <c r="E279" s="20">
        <f t="shared" si="214"/>
        <v>1112.0870528</v>
      </c>
      <c r="F279" s="38">
        <f t="shared" si="227"/>
        <v>0</v>
      </c>
      <c r="G279" s="38">
        <f t="shared" si="221"/>
        <v>0</v>
      </c>
      <c r="H279" s="38">
        <f t="shared" si="222"/>
        <v>1112.0870528</v>
      </c>
      <c r="I279" s="38">
        <f t="shared" si="216"/>
        <v>0</v>
      </c>
      <c r="J279" s="18">
        <f t="shared" si="217"/>
        <v>95.2</v>
      </c>
      <c r="K279" s="18">
        <v>0</v>
      </c>
      <c r="L279" s="19">
        <v>0</v>
      </c>
      <c r="M279" s="51">
        <v>95.2</v>
      </c>
      <c r="N279" s="19">
        <v>0</v>
      </c>
      <c r="O279" s="18">
        <f t="shared" si="218"/>
        <v>186.1</v>
      </c>
      <c r="P279" s="18">
        <v>0</v>
      </c>
      <c r="Q279" s="19">
        <v>0</v>
      </c>
      <c r="R279" s="19">
        <v>186.1</v>
      </c>
      <c r="S279" s="19">
        <v>0</v>
      </c>
      <c r="T279" s="18">
        <f t="shared" si="219"/>
        <v>212.1</v>
      </c>
      <c r="U279" s="18">
        <v>0</v>
      </c>
      <c r="V279" s="19">
        <v>0</v>
      </c>
      <c r="W279" s="105">
        <v>212.1</v>
      </c>
      <c r="X279" s="19">
        <v>0</v>
      </c>
      <c r="Y279" s="18">
        <f t="shared" si="220"/>
        <v>200.88705279999999</v>
      </c>
      <c r="Z279" s="18">
        <v>0</v>
      </c>
      <c r="AA279" s="19">
        <v>0</v>
      </c>
      <c r="AB279" s="111">
        <v>200.88705279999999</v>
      </c>
      <c r="AC279" s="19">
        <v>0</v>
      </c>
      <c r="AD279" s="18">
        <f t="shared" si="223"/>
        <v>208.9</v>
      </c>
      <c r="AE279" s="18">
        <v>0</v>
      </c>
      <c r="AF279" s="19">
        <v>0</v>
      </c>
      <c r="AG279" s="111">
        <v>208.9</v>
      </c>
      <c r="AH279" s="19">
        <v>0</v>
      </c>
      <c r="AI279" s="18">
        <f t="shared" si="224"/>
        <v>208.9</v>
      </c>
      <c r="AJ279" s="18">
        <v>0</v>
      </c>
      <c r="AK279" s="19">
        <v>0</v>
      </c>
      <c r="AL279" s="111">
        <v>208.9</v>
      </c>
      <c r="AM279" s="19">
        <v>0</v>
      </c>
    </row>
    <row r="280" spans="1:39" s="2" customFormat="1" ht="78.75" outlineLevel="2" x14ac:dyDescent="0.25">
      <c r="A280" s="8" t="s">
        <v>902</v>
      </c>
      <c r="B280" s="43" t="s">
        <v>59</v>
      </c>
      <c r="C280" s="26" t="s">
        <v>377</v>
      </c>
      <c r="D280" s="26" t="s">
        <v>118</v>
      </c>
      <c r="E280" s="20">
        <f t="shared" si="214"/>
        <v>755.91550719999998</v>
      </c>
      <c r="F280" s="38">
        <f t="shared" si="227"/>
        <v>0</v>
      </c>
      <c r="G280" s="38">
        <f t="shared" si="221"/>
        <v>0</v>
      </c>
      <c r="H280" s="38">
        <f t="shared" si="222"/>
        <v>755.91550719999998</v>
      </c>
      <c r="I280" s="38">
        <f t="shared" si="216"/>
        <v>0</v>
      </c>
      <c r="J280" s="18">
        <f t="shared" si="217"/>
        <v>69.8</v>
      </c>
      <c r="K280" s="18">
        <v>0</v>
      </c>
      <c r="L280" s="19">
        <v>0</v>
      </c>
      <c r="M280" s="51">
        <v>69.8</v>
      </c>
      <c r="N280" s="19">
        <v>0</v>
      </c>
      <c r="O280" s="18">
        <f t="shared" si="218"/>
        <v>126</v>
      </c>
      <c r="P280" s="18">
        <v>0</v>
      </c>
      <c r="Q280" s="19">
        <v>0</v>
      </c>
      <c r="R280" s="19">
        <v>126</v>
      </c>
      <c r="S280" s="19">
        <v>0</v>
      </c>
      <c r="T280" s="18">
        <f t="shared" si="219"/>
        <v>141.30000000000001</v>
      </c>
      <c r="U280" s="18">
        <v>0</v>
      </c>
      <c r="V280" s="19">
        <v>0</v>
      </c>
      <c r="W280" s="105">
        <v>141.30000000000001</v>
      </c>
      <c r="X280" s="19">
        <v>0</v>
      </c>
      <c r="Y280" s="18">
        <f t="shared" si="220"/>
        <v>136.0155072</v>
      </c>
      <c r="Z280" s="18">
        <v>0</v>
      </c>
      <c r="AA280" s="19">
        <v>0</v>
      </c>
      <c r="AB280" s="111">
        <v>136.0155072</v>
      </c>
      <c r="AC280" s="19">
        <v>0</v>
      </c>
      <c r="AD280" s="18">
        <f t="shared" si="223"/>
        <v>141.4</v>
      </c>
      <c r="AE280" s="18">
        <v>0</v>
      </c>
      <c r="AF280" s="19">
        <v>0</v>
      </c>
      <c r="AG280" s="111">
        <v>141.4</v>
      </c>
      <c r="AH280" s="19">
        <v>0</v>
      </c>
      <c r="AI280" s="18">
        <f t="shared" si="224"/>
        <v>141.4</v>
      </c>
      <c r="AJ280" s="18">
        <v>0</v>
      </c>
      <c r="AK280" s="19">
        <v>0</v>
      </c>
      <c r="AL280" s="111">
        <v>141.4</v>
      </c>
      <c r="AM280" s="19">
        <v>0</v>
      </c>
    </row>
    <row r="281" spans="1:39" s="2" customFormat="1" ht="78.75" outlineLevel="2" x14ac:dyDescent="0.25">
      <c r="A281" s="8" t="s">
        <v>903</v>
      </c>
      <c r="B281" s="43" t="s">
        <v>53</v>
      </c>
      <c r="C281" s="26" t="s">
        <v>377</v>
      </c>
      <c r="D281" s="26" t="s">
        <v>118</v>
      </c>
      <c r="E281" s="20">
        <f t="shared" si="214"/>
        <v>384.5</v>
      </c>
      <c r="F281" s="38">
        <f t="shared" si="227"/>
        <v>0</v>
      </c>
      <c r="G281" s="38">
        <f t="shared" si="221"/>
        <v>0</v>
      </c>
      <c r="H281" s="38">
        <f t="shared" si="222"/>
        <v>384.5</v>
      </c>
      <c r="I281" s="38">
        <f t="shared" si="216"/>
        <v>0</v>
      </c>
      <c r="J281" s="18">
        <f t="shared" si="217"/>
        <v>42.4</v>
      </c>
      <c r="K281" s="18">
        <v>0</v>
      </c>
      <c r="L281" s="19">
        <v>0</v>
      </c>
      <c r="M281" s="51">
        <v>42.4</v>
      </c>
      <c r="N281" s="19">
        <v>0</v>
      </c>
      <c r="O281" s="18">
        <f t="shared" si="218"/>
        <v>61.5</v>
      </c>
      <c r="P281" s="18">
        <v>0</v>
      </c>
      <c r="Q281" s="19">
        <v>0</v>
      </c>
      <c r="R281" s="19">
        <v>61.5</v>
      </c>
      <c r="S281" s="19">
        <v>0</v>
      </c>
      <c r="T281" s="18">
        <f t="shared" si="219"/>
        <v>76</v>
      </c>
      <c r="U281" s="18">
        <v>0</v>
      </c>
      <c r="V281" s="19">
        <v>0</v>
      </c>
      <c r="W281" s="105">
        <v>76</v>
      </c>
      <c r="X281" s="19">
        <v>0</v>
      </c>
      <c r="Y281" s="18">
        <f t="shared" si="220"/>
        <v>66.400000000000006</v>
      </c>
      <c r="Z281" s="18">
        <v>0</v>
      </c>
      <c r="AA281" s="19">
        <v>0</v>
      </c>
      <c r="AB281" s="111">
        <v>66.400000000000006</v>
      </c>
      <c r="AC281" s="19">
        <v>0</v>
      </c>
      <c r="AD281" s="18">
        <f t="shared" si="223"/>
        <v>69.099999999999994</v>
      </c>
      <c r="AE281" s="18">
        <v>0</v>
      </c>
      <c r="AF281" s="19">
        <v>0</v>
      </c>
      <c r="AG281" s="111">
        <v>69.099999999999994</v>
      </c>
      <c r="AH281" s="19">
        <v>0</v>
      </c>
      <c r="AI281" s="18">
        <f t="shared" si="224"/>
        <v>69.099999999999994</v>
      </c>
      <c r="AJ281" s="18">
        <v>0</v>
      </c>
      <c r="AK281" s="19">
        <v>0</v>
      </c>
      <c r="AL281" s="111">
        <v>69.099999999999994</v>
      </c>
      <c r="AM281" s="19">
        <v>0</v>
      </c>
    </row>
    <row r="282" spans="1:39" s="2" customFormat="1" ht="78.75" outlineLevel="2" x14ac:dyDescent="0.25">
      <c r="A282" s="8" t="s">
        <v>904</v>
      </c>
      <c r="B282" s="43" t="s">
        <v>64</v>
      </c>
      <c r="C282" s="26" t="s">
        <v>377</v>
      </c>
      <c r="D282" s="26" t="s">
        <v>118</v>
      </c>
      <c r="E282" s="20">
        <f t="shared" si="214"/>
        <v>430.79412479999996</v>
      </c>
      <c r="F282" s="38">
        <f t="shared" si="227"/>
        <v>0</v>
      </c>
      <c r="G282" s="38">
        <f t="shared" si="221"/>
        <v>0</v>
      </c>
      <c r="H282" s="38">
        <f t="shared" si="222"/>
        <v>430.79412479999996</v>
      </c>
      <c r="I282" s="38">
        <f t="shared" si="216"/>
        <v>0</v>
      </c>
      <c r="J282" s="18">
        <f t="shared" si="217"/>
        <v>43.2</v>
      </c>
      <c r="K282" s="18">
        <v>0</v>
      </c>
      <c r="L282" s="19">
        <v>0</v>
      </c>
      <c r="M282" s="51">
        <v>43.2</v>
      </c>
      <c r="N282" s="19">
        <v>0</v>
      </c>
      <c r="O282" s="18">
        <f t="shared" si="218"/>
        <v>74.099999999999994</v>
      </c>
      <c r="P282" s="18">
        <v>0</v>
      </c>
      <c r="Q282" s="19">
        <v>0</v>
      </c>
      <c r="R282" s="19">
        <v>74.099999999999994</v>
      </c>
      <c r="S282" s="19">
        <v>0</v>
      </c>
      <c r="T282" s="18">
        <f t="shared" si="219"/>
        <v>67.099999999999994</v>
      </c>
      <c r="U282" s="18">
        <v>0</v>
      </c>
      <c r="V282" s="19">
        <v>0</v>
      </c>
      <c r="W282" s="105">
        <v>67.099999999999994</v>
      </c>
      <c r="X282" s="19">
        <v>0</v>
      </c>
      <c r="Y282" s="18">
        <f t="shared" si="220"/>
        <v>79.994124800000009</v>
      </c>
      <c r="Z282" s="18">
        <v>0</v>
      </c>
      <c r="AA282" s="19">
        <v>0</v>
      </c>
      <c r="AB282" s="111">
        <v>79.994124800000009</v>
      </c>
      <c r="AC282" s="19">
        <v>0</v>
      </c>
      <c r="AD282" s="18">
        <f t="shared" si="223"/>
        <v>83.2</v>
      </c>
      <c r="AE282" s="18">
        <v>0</v>
      </c>
      <c r="AF282" s="19">
        <v>0</v>
      </c>
      <c r="AG282" s="111">
        <v>83.2</v>
      </c>
      <c r="AH282" s="19">
        <v>0</v>
      </c>
      <c r="AI282" s="18">
        <f t="shared" si="224"/>
        <v>83.2</v>
      </c>
      <c r="AJ282" s="18">
        <v>0</v>
      </c>
      <c r="AK282" s="19">
        <v>0</v>
      </c>
      <c r="AL282" s="111">
        <v>83.2</v>
      </c>
      <c r="AM282" s="19">
        <v>0</v>
      </c>
    </row>
    <row r="283" spans="1:39" s="2" customFormat="1" ht="78.75" outlineLevel="2" x14ac:dyDescent="0.25">
      <c r="A283" s="8" t="s">
        <v>905</v>
      </c>
      <c r="B283" s="43" t="s">
        <v>60</v>
      </c>
      <c r="C283" s="26" t="s">
        <v>377</v>
      </c>
      <c r="D283" s="26" t="s">
        <v>118</v>
      </c>
      <c r="E283" s="20">
        <f t="shared" si="214"/>
        <v>444.83430399999997</v>
      </c>
      <c r="F283" s="38">
        <f t="shared" si="227"/>
        <v>0</v>
      </c>
      <c r="G283" s="38">
        <f t="shared" si="221"/>
        <v>0</v>
      </c>
      <c r="H283" s="38">
        <f t="shared" si="222"/>
        <v>444.83430399999997</v>
      </c>
      <c r="I283" s="38">
        <f t="shared" si="216"/>
        <v>0</v>
      </c>
      <c r="J283" s="18">
        <f t="shared" si="217"/>
        <v>23.5</v>
      </c>
      <c r="K283" s="18">
        <v>0</v>
      </c>
      <c r="L283" s="19">
        <v>0</v>
      </c>
      <c r="M283" s="51">
        <v>23.5</v>
      </c>
      <c r="N283" s="19">
        <v>0</v>
      </c>
      <c r="O283" s="18">
        <f t="shared" si="218"/>
        <v>74.599999999999994</v>
      </c>
      <c r="P283" s="18">
        <v>0</v>
      </c>
      <c r="Q283" s="19">
        <v>0</v>
      </c>
      <c r="R283" s="19">
        <v>74.599999999999994</v>
      </c>
      <c r="S283" s="19">
        <v>0</v>
      </c>
      <c r="T283" s="18">
        <f t="shared" si="219"/>
        <v>98.8</v>
      </c>
      <c r="U283" s="18">
        <v>0</v>
      </c>
      <c r="V283" s="19">
        <v>0</v>
      </c>
      <c r="W283" s="105">
        <v>98.8</v>
      </c>
      <c r="X283" s="19">
        <v>0</v>
      </c>
      <c r="Y283" s="18">
        <f t="shared" si="220"/>
        <v>80.534304000000006</v>
      </c>
      <c r="Z283" s="18">
        <v>0</v>
      </c>
      <c r="AA283" s="19">
        <v>0</v>
      </c>
      <c r="AB283" s="111">
        <v>80.534304000000006</v>
      </c>
      <c r="AC283" s="19">
        <v>0</v>
      </c>
      <c r="AD283" s="18">
        <f t="shared" si="223"/>
        <v>83.7</v>
      </c>
      <c r="AE283" s="18">
        <v>0</v>
      </c>
      <c r="AF283" s="19">
        <v>0</v>
      </c>
      <c r="AG283" s="111">
        <v>83.7</v>
      </c>
      <c r="AH283" s="19">
        <v>0</v>
      </c>
      <c r="AI283" s="18">
        <f t="shared" si="224"/>
        <v>83.7</v>
      </c>
      <c r="AJ283" s="18">
        <v>0</v>
      </c>
      <c r="AK283" s="19">
        <v>0</v>
      </c>
      <c r="AL283" s="111">
        <v>83.7</v>
      </c>
      <c r="AM283" s="19">
        <v>0</v>
      </c>
    </row>
    <row r="284" spans="1:39" s="2" customFormat="1" ht="78.75" outlineLevel="2" x14ac:dyDescent="0.25">
      <c r="A284" s="8" t="s">
        <v>906</v>
      </c>
      <c r="B284" s="43" t="s">
        <v>51</v>
      </c>
      <c r="C284" s="26" t="s">
        <v>377</v>
      </c>
      <c r="D284" s="26" t="s">
        <v>118</v>
      </c>
      <c r="E284" s="20">
        <f t="shared" si="214"/>
        <v>512.69151360000001</v>
      </c>
      <c r="F284" s="38">
        <f t="shared" si="227"/>
        <v>0</v>
      </c>
      <c r="G284" s="38">
        <f t="shared" si="221"/>
        <v>0</v>
      </c>
      <c r="H284" s="38">
        <f t="shared" si="222"/>
        <v>512.69151360000001</v>
      </c>
      <c r="I284" s="38">
        <f t="shared" si="216"/>
        <v>0</v>
      </c>
      <c r="J284" s="18">
        <f t="shared" si="217"/>
        <v>62.4</v>
      </c>
      <c r="K284" s="18">
        <v>0</v>
      </c>
      <c r="L284" s="19">
        <v>0</v>
      </c>
      <c r="M284" s="51">
        <v>62.4</v>
      </c>
      <c r="N284" s="19">
        <v>0</v>
      </c>
      <c r="O284" s="18">
        <f t="shared" si="218"/>
        <v>87.5</v>
      </c>
      <c r="P284" s="18">
        <v>0</v>
      </c>
      <c r="Q284" s="19">
        <v>0</v>
      </c>
      <c r="R284" s="19">
        <v>87.5</v>
      </c>
      <c r="S284" s="19">
        <v>0</v>
      </c>
      <c r="T284" s="18">
        <f t="shared" si="219"/>
        <v>71.7</v>
      </c>
      <c r="U284" s="18">
        <v>0</v>
      </c>
      <c r="V284" s="19">
        <v>0</v>
      </c>
      <c r="W284" s="105">
        <v>71.7</v>
      </c>
      <c r="X284" s="19">
        <v>0</v>
      </c>
      <c r="Y284" s="18">
        <f t="shared" si="220"/>
        <v>94.49151359999999</v>
      </c>
      <c r="Z284" s="18">
        <v>0</v>
      </c>
      <c r="AA284" s="19">
        <v>0</v>
      </c>
      <c r="AB284" s="111">
        <v>94.49151359999999</v>
      </c>
      <c r="AC284" s="19">
        <v>0</v>
      </c>
      <c r="AD284" s="18">
        <f t="shared" si="223"/>
        <v>98.3</v>
      </c>
      <c r="AE284" s="18">
        <v>0</v>
      </c>
      <c r="AF284" s="19">
        <v>0</v>
      </c>
      <c r="AG284" s="111">
        <v>98.3</v>
      </c>
      <c r="AH284" s="19">
        <v>0</v>
      </c>
      <c r="AI284" s="18">
        <f t="shared" si="224"/>
        <v>98.3</v>
      </c>
      <c r="AJ284" s="18">
        <v>0</v>
      </c>
      <c r="AK284" s="19">
        <v>0</v>
      </c>
      <c r="AL284" s="111">
        <v>98.3</v>
      </c>
      <c r="AM284" s="19">
        <v>0</v>
      </c>
    </row>
    <row r="285" spans="1:39" s="2" customFormat="1" ht="78.75" outlineLevel="2" x14ac:dyDescent="0.25">
      <c r="A285" s="8" t="s">
        <v>907</v>
      </c>
      <c r="B285" s="43" t="s">
        <v>63</v>
      </c>
      <c r="C285" s="26" t="s">
        <v>377</v>
      </c>
      <c r="D285" s="26" t="s">
        <v>118</v>
      </c>
      <c r="E285" s="20">
        <f>SUM(F285:I285)</f>
        <v>2789.2</v>
      </c>
      <c r="F285" s="38">
        <f>K285+P285+U285</f>
        <v>0</v>
      </c>
      <c r="G285" s="38">
        <f>L285+Q285+V285+AA285+AF285+AK285</f>
        <v>0</v>
      </c>
      <c r="H285" s="38">
        <f>M285+R285+W285+AB285+AG285+AL285</f>
        <v>2789.2</v>
      </c>
      <c r="I285" s="38">
        <f>N285+S285+X285+AC285+AH285+AM285</f>
        <v>0</v>
      </c>
      <c r="J285" s="18">
        <f>SUM(K285:N285)</f>
        <v>0</v>
      </c>
      <c r="K285" s="18">
        <v>0</v>
      </c>
      <c r="L285" s="19">
        <v>0</v>
      </c>
      <c r="M285" s="51">
        <v>0</v>
      </c>
      <c r="N285" s="19">
        <v>0</v>
      </c>
      <c r="O285" s="18">
        <f>SUM(P285:S285)</f>
        <v>639.79999999999995</v>
      </c>
      <c r="P285" s="18">
        <v>0</v>
      </c>
      <c r="Q285" s="19">
        <v>0</v>
      </c>
      <c r="R285" s="19">
        <v>639.79999999999995</v>
      </c>
      <c r="S285" s="19">
        <v>0</v>
      </c>
      <c r="T285" s="18">
        <f>SUM(U285:X285)</f>
        <v>22.1</v>
      </c>
      <c r="U285" s="18">
        <v>0</v>
      </c>
      <c r="V285" s="19">
        <v>0</v>
      </c>
      <c r="W285" s="105">
        <v>22.1</v>
      </c>
      <c r="X285" s="19">
        <v>0</v>
      </c>
      <c r="Y285" s="18">
        <f>SUM(Z285:AC285)</f>
        <v>690.7</v>
      </c>
      <c r="Z285" s="18">
        <v>0</v>
      </c>
      <c r="AA285" s="19">
        <v>0</v>
      </c>
      <c r="AB285" s="111">
        <v>690.7</v>
      </c>
      <c r="AC285" s="19">
        <v>0</v>
      </c>
      <c r="AD285" s="18">
        <f>SUM(AE285:AH285)</f>
        <v>718.3</v>
      </c>
      <c r="AE285" s="18">
        <v>0</v>
      </c>
      <c r="AF285" s="19">
        <v>0</v>
      </c>
      <c r="AG285" s="111">
        <v>718.3</v>
      </c>
      <c r="AH285" s="19">
        <v>0</v>
      </c>
      <c r="AI285" s="18">
        <f>SUM(AJ285:AM285)</f>
        <v>718.3</v>
      </c>
      <c r="AJ285" s="18">
        <v>0</v>
      </c>
      <c r="AK285" s="19">
        <v>0</v>
      </c>
      <c r="AL285" s="111">
        <v>718.3</v>
      </c>
      <c r="AM285" s="19">
        <v>0</v>
      </c>
    </row>
    <row r="286" spans="1:39" s="5" customFormat="1" ht="48" customHeight="1" x14ac:dyDescent="0.25">
      <c r="A286" s="138" t="s">
        <v>358</v>
      </c>
      <c r="B286" s="188" t="s">
        <v>426</v>
      </c>
      <c r="C286" s="189"/>
      <c r="D286" s="190"/>
      <c r="E286" s="18">
        <f t="shared" ref="E286:AM286" si="228">E287+E297+E321+E378+E380+E383+E389+E393+E417+E419+E439+E442+E444</f>
        <v>1414313.8</v>
      </c>
      <c r="F286" s="18">
        <f t="shared" si="228"/>
        <v>0</v>
      </c>
      <c r="G286" s="18">
        <f t="shared" si="228"/>
        <v>116611.6</v>
      </c>
      <c r="H286" s="18">
        <f t="shared" si="228"/>
        <v>1297702.2</v>
      </c>
      <c r="I286" s="18">
        <f t="shared" si="228"/>
        <v>0</v>
      </c>
      <c r="J286" s="18">
        <f t="shared" si="228"/>
        <v>369720.5</v>
      </c>
      <c r="K286" s="18">
        <f t="shared" si="228"/>
        <v>0</v>
      </c>
      <c r="L286" s="18">
        <f t="shared" si="228"/>
        <v>116611.6</v>
      </c>
      <c r="M286" s="18">
        <f t="shared" si="228"/>
        <v>253108.90000000002</v>
      </c>
      <c r="N286" s="18">
        <f t="shared" si="228"/>
        <v>0</v>
      </c>
      <c r="O286" s="18">
        <f t="shared" si="228"/>
        <v>235809.39999999997</v>
      </c>
      <c r="P286" s="18">
        <f t="shared" si="228"/>
        <v>0</v>
      </c>
      <c r="Q286" s="18">
        <f t="shared" si="228"/>
        <v>0</v>
      </c>
      <c r="R286" s="18">
        <f t="shared" si="228"/>
        <v>235809.39999999997</v>
      </c>
      <c r="S286" s="18">
        <f t="shared" si="228"/>
        <v>0</v>
      </c>
      <c r="T286" s="18">
        <f t="shared" si="228"/>
        <v>253359.3</v>
      </c>
      <c r="U286" s="18">
        <f t="shared" si="228"/>
        <v>0</v>
      </c>
      <c r="V286" s="18">
        <f t="shared" si="228"/>
        <v>0</v>
      </c>
      <c r="W286" s="18">
        <f t="shared" si="228"/>
        <v>253359.3</v>
      </c>
      <c r="X286" s="18">
        <f t="shared" si="228"/>
        <v>0</v>
      </c>
      <c r="Y286" s="18">
        <f t="shared" si="228"/>
        <v>180951.8</v>
      </c>
      <c r="Z286" s="18">
        <f t="shared" si="228"/>
        <v>0</v>
      </c>
      <c r="AA286" s="18">
        <f t="shared" si="228"/>
        <v>0</v>
      </c>
      <c r="AB286" s="18">
        <f t="shared" si="228"/>
        <v>180951.8</v>
      </c>
      <c r="AC286" s="18">
        <f t="shared" si="228"/>
        <v>0</v>
      </c>
      <c r="AD286" s="18">
        <f t="shared" si="228"/>
        <v>187236.40000000002</v>
      </c>
      <c r="AE286" s="18">
        <f t="shared" si="228"/>
        <v>0</v>
      </c>
      <c r="AF286" s="18">
        <f t="shared" si="228"/>
        <v>0</v>
      </c>
      <c r="AG286" s="18">
        <f t="shared" si="228"/>
        <v>187236.40000000002</v>
      </c>
      <c r="AH286" s="18">
        <f t="shared" si="228"/>
        <v>0</v>
      </c>
      <c r="AI286" s="18">
        <f t="shared" si="228"/>
        <v>187236.40000000002</v>
      </c>
      <c r="AJ286" s="18">
        <f t="shared" si="228"/>
        <v>0</v>
      </c>
      <c r="AK286" s="18">
        <f t="shared" si="228"/>
        <v>0</v>
      </c>
      <c r="AL286" s="18">
        <f t="shared" si="228"/>
        <v>187236.40000000002</v>
      </c>
      <c r="AM286" s="18">
        <f t="shared" si="228"/>
        <v>0</v>
      </c>
    </row>
    <row r="287" spans="1:39" s="5" customFormat="1" ht="33.75" customHeight="1" outlineLevel="1" x14ac:dyDescent="0.25">
      <c r="A287" s="138" t="s">
        <v>191</v>
      </c>
      <c r="B287" s="188" t="s">
        <v>21</v>
      </c>
      <c r="C287" s="189"/>
      <c r="D287" s="190"/>
      <c r="E287" s="18">
        <f>SUM(E288:E296)</f>
        <v>178208.00000000003</v>
      </c>
      <c r="F287" s="18">
        <f>SUM(F288:F295)</f>
        <v>0</v>
      </c>
      <c r="G287" s="18">
        <f t="shared" ref="G287:T287" si="229">SUM(G288:G296)</f>
        <v>116611.6</v>
      </c>
      <c r="H287" s="18">
        <f t="shared" si="229"/>
        <v>61596.399999999994</v>
      </c>
      <c r="I287" s="18">
        <f t="shared" si="229"/>
        <v>0</v>
      </c>
      <c r="J287" s="18">
        <f t="shared" si="229"/>
        <v>171046.40000000002</v>
      </c>
      <c r="K287" s="18">
        <f t="shared" si="229"/>
        <v>0</v>
      </c>
      <c r="L287" s="18">
        <f t="shared" si="229"/>
        <v>116611.6</v>
      </c>
      <c r="M287" s="18">
        <f t="shared" si="229"/>
        <v>54434.8</v>
      </c>
      <c r="N287" s="18">
        <f t="shared" si="229"/>
        <v>0</v>
      </c>
      <c r="O287" s="18">
        <f t="shared" si="229"/>
        <v>3854.7999999999997</v>
      </c>
      <c r="P287" s="18">
        <f t="shared" si="229"/>
        <v>0</v>
      </c>
      <c r="Q287" s="18">
        <f t="shared" si="229"/>
        <v>0</v>
      </c>
      <c r="R287" s="18">
        <f>SUM(R288:R296)</f>
        <v>3854.7999999999997</v>
      </c>
      <c r="S287" s="18">
        <f t="shared" si="229"/>
        <v>0</v>
      </c>
      <c r="T287" s="18">
        <f t="shared" si="229"/>
        <v>3306.8</v>
      </c>
      <c r="U287" s="18">
        <f>SUM(U288:U295)</f>
        <v>0</v>
      </c>
      <c r="V287" s="18">
        <f>SUM(V288:V296)</f>
        <v>0</v>
      </c>
      <c r="W287" s="18">
        <f>SUM(W288:W296)</f>
        <v>3306.8</v>
      </c>
      <c r="X287" s="18">
        <f>SUM(X288:X296)</f>
        <v>0</v>
      </c>
      <c r="Y287" s="18">
        <f>SUM(Y288:Y296)</f>
        <v>0</v>
      </c>
      <c r="Z287" s="18">
        <f>SUM(Z288:Z295)</f>
        <v>0</v>
      </c>
      <c r="AA287" s="18">
        <f>SUM(AA288:AA296)</f>
        <v>0</v>
      </c>
      <c r="AB287" s="18">
        <f>SUM(AB288:AB296)</f>
        <v>0</v>
      </c>
      <c r="AC287" s="18">
        <f>SUM(AC288:AC296)</f>
        <v>0</v>
      </c>
      <c r="AD287" s="18">
        <f>SUM(AD288:AD296)</f>
        <v>0</v>
      </c>
      <c r="AE287" s="18">
        <f>SUM(AE288:AE295)</f>
        <v>0</v>
      </c>
      <c r="AF287" s="18">
        <f>SUM(AF288:AF296)</f>
        <v>0</v>
      </c>
      <c r="AG287" s="18">
        <f>SUM(AG288:AG296)</f>
        <v>0</v>
      </c>
      <c r="AH287" s="18">
        <f>SUM(AH288:AH296)</f>
        <v>0</v>
      </c>
      <c r="AI287" s="18">
        <f>SUM(AI288:AI296)</f>
        <v>0</v>
      </c>
      <c r="AJ287" s="18">
        <f>SUM(AJ288:AJ295)</f>
        <v>0</v>
      </c>
      <c r="AK287" s="18">
        <f>SUM(AK288:AK296)</f>
        <v>0</v>
      </c>
      <c r="AL287" s="18">
        <f>SUM(AL288:AL296)</f>
        <v>0</v>
      </c>
      <c r="AM287" s="18">
        <f>SUM(AM288:AM296)</f>
        <v>0</v>
      </c>
    </row>
    <row r="288" spans="1:39" s="2" customFormat="1" ht="47.25" outlineLevel="2" x14ac:dyDescent="0.25">
      <c r="A288" s="8" t="s">
        <v>190</v>
      </c>
      <c r="B288" s="32" t="s">
        <v>363</v>
      </c>
      <c r="C288" s="26" t="s">
        <v>31</v>
      </c>
      <c r="D288" s="31" t="s">
        <v>8</v>
      </c>
      <c r="E288" s="20">
        <f t="shared" ref="E288:E295" si="230">SUM(F288:I288)</f>
        <v>5250.2999999999993</v>
      </c>
      <c r="F288" s="38">
        <f>K288+P288+U288</f>
        <v>0</v>
      </c>
      <c r="G288" s="38">
        <f>L288+Q288+V288+AA288+AF288+AK288</f>
        <v>0</v>
      </c>
      <c r="H288" s="38">
        <f>M288+R288+W288+AB288+AG288+AL288</f>
        <v>5250.2999999999993</v>
      </c>
      <c r="I288" s="38">
        <f t="shared" ref="I288:I295" si="231">N288+S288+X288+AC288+AH288+AM288</f>
        <v>0</v>
      </c>
      <c r="J288" s="18">
        <f t="shared" ref="J288:J295" si="232">SUM(K288:N288)</f>
        <v>5250.2999999999993</v>
      </c>
      <c r="K288" s="19">
        <v>0</v>
      </c>
      <c r="L288" s="19">
        <v>0</v>
      </c>
      <c r="M288" s="19">
        <f>5244.9+5.4</f>
        <v>5250.2999999999993</v>
      </c>
      <c r="N288" s="19">
        <v>0</v>
      </c>
      <c r="O288" s="18">
        <f t="shared" ref="O288:O295" si="233">SUM(P288:S288)</f>
        <v>0</v>
      </c>
      <c r="P288" s="19">
        <v>0</v>
      </c>
      <c r="Q288" s="19">
        <v>0</v>
      </c>
      <c r="R288" s="19">
        <v>0</v>
      </c>
      <c r="S288" s="19">
        <v>0</v>
      </c>
      <c r="T288" s="18">
        <f t="shared" ref="T288:T295" si="234">SUM(U288:X288)</f>
        <v>0</v>
      </c>
      <c r="U288" s="19">
        <v>0</v>
      </c>
      <c r="V288" s="19">
        <v>0</v>
      </c>
      <c r="W288" s="19">
        <v>0</v>
      </c>
      <c r="X288" s="19">
        <v>0</v>
      </c>
      <c r="Y288" s="18">
        <f t="shared" ref="Y288:Y295" si="235">SUM(Z288:AC288)</f>
        <v>0</v>
      </c>
      <c r="Z288" s="19">
        <v>0</v>
      </c>
      <c r="AA288" s="19">
        <v>0</v>
      </c>
      <c r="AB288" s="19">
        <v>0</v>
      </c>
      <c r="AC288" s="19">
        <v>0</v>
      </c>
      <c r="AD288" s="18">
        <f t="shared" ref="AD288:AD295" si="236">SUM(AE288:AH288)</f>
        <v>0</v>
      </c>
      <c r="AE288" s="19">
        <v>0</v>
      </c>
      <c r="AF288" s="19">
        <v>0</v>
      </c>
      <c r="AG288" s="19">
        <v>0</v>
      </c>
      <c r="AH288" s="19">
        <v>0</v>
      </c>
      <c r="AI288" s="18">
        <f t="shared" ref="AI288:AI295" si="237">SUM(AJ288:AM288)</f>
        <v>0</v>
      </c>
      <c r="AJ288" s="19">
        <v>0</v>
      </c>
      <c r="AK288" s="19">
        <v>0</v>
      </c>
      <c r="AL288" s="19">
        <v>0</v>
      </c>
      <c r="AM288" s="19">
        <v>0</v>
      </c>
    </row>
    <row r="289" spans="1:39" s="2" customFormat="1" ht="78.75" outlineLevel="2" x14ac:dyDescent="0.25">
      <c r="A289" s="8" t="s">
        <v>193</v>
      </c>
      <c r="B289" s="49" t="s">
        <v>42</v>
      </c>
      <c r="C289" s="26" t="s">
        <v>377</v>
      </c>
      <c r="D289" s="31" t="s">
        <v>8</v>
      </c>
      <c r="E289" s="20">
        <f t="shared" si="230"/>
        <v>122583.1</v>
      </c>
      <c r="F289" s="38">
        <f t="shared" ref="F289:F294" si="238">K289+P289+U289</f>
        <v>0</v>
      </c>
      <c r="G289" s="38">
        <f t="shared" ref="F289:G295" si="239">L289+Q289+V289+AA289+AF289+AK289</f>
        <v>102210.3</v>
      </c>
      <c r="H289" s="38">
        <f t="shared" ref="H289:H295" si="240">M289+R289+W289+AB289+AG289+AL289</f>
        <v>20372.8</v>
      </c>
      <c r="I289" s="38">
        <f t="shared" si="231"/>
        <v>0</v>
      </c>
      <c r="J289" s="18">
        <f t="shared" si="232"/>
        <v>122583.1</v>
      </c>
      <c r="K289" s="19">
        <v>0</v>
      </c>
      <c r="L289" s="19">
        <f>103464.1-1253.8</f>
        <v>102210.3</v>
      </c>
      <c r="M289" s="19">
        <f>19340.3+1045.1-12.6</f>
        <v>20372.8</v>
      </c>
      <c r="N289" s="19">
        <v>0</v>
      </c>
      <c r="O289" s="18">
        <f t="shared" si="233"/>
        <v>0</v>
      </c>
      <c r="P289" s="19">
        <v>0</v>
      </c>
      <c r="Q289" s="19">
        <v>0</v>
      </c>
      <c r="R289" s="19">
        <v>0</v>
      </c>
      <c r="S289" s="19">
        <v>0</v>
      </c>
      <c r="T289" s="18">
        <f t="shared" si="234"/>
        <v>0</v>
      </c>
      <c r="U289" s="19">
        <v>0</v>
      </c>
      <c r="V289" s="19">
        <v>0</v>
      </c>
      <c r="W289" s="19">
        <v>0</v>
      </c>
      <c r="X289" s="19">
        <v>0</v>
      </c>
      <c r="Y289" s="18">
        <f t="shared" si="235"/>
        <v>0</v>
      </c>
      <c r="Z289" s="19">
        <v>0</v>
      </c>
      <c r="AA289" s="19">
        <v>0</v>
      </c>
      <c r="AB289" s="19">
        <v>0</v>
      </c>
      <c r="AC289" s="19">
        <v>0</v>
      </c>
      <c r="AD289" s="18">
        <f t="shared" si="236"/>
        <v>0</v>
      </c>
      <c r="AE289" s="19">
        <v>0</v>
      </c>
      <c r="AF289" s="19">
        <v>0</v>
      </c>
      <c r="AG289" s="19">
        <v>0</v>
      </c>
      <c r="AH289" s="19">
        <v>0</v>
      </c>
      <c r="AI289" s="18">
        <f t="shared" si="237"/>
        <v>0</v>
      </c>
      <c r="AJ289" s="19">
        <v>0</v>
      </c>
      <c r="AK289" s="19">
        <v>0</v>
      </c>
      <c r="AL289" s="19">
        <v>0</v>
      </c>
      <c r="AM289" s="19">
        <v>0</v>
      </c>
    </row>
    <row r="290" spans="1:39" s="2" customFormat="1" ht="69.75" customHeight="1" outlineLevel="2" x14ac:dyDescent="0.25">
      <c r="A290" s="8" t="s">
        <v>194</v>
      </c>
      <c r="B290" s="29" t="s">
        <v>113</v>
      </c>
      <c r="C290" s="26" t="s">
        <v>32</v>
      </c>
      <c r="D290" s="31" t="s">
        <v>8</v>
      </c>
      <c r="E290" s="20">
        <f t="shared" si="230"/>
        <v>2300</v>
      </c>
      <c r="F290" s="38">
        <f t="shared" si="238"/>
        <v>0</v>
      </c>
      <c r="G290" s="38">
        <f t="shared" si="239"/>
        <v>0</v>
      </c>
      <c r="H290" s="38">
        <f t="shared" si="240"/>
        <v>2300</v>
      </c>
      <c r="I290" s="38">
        <f t="shared" si="231"/>
        <v>0</v>
      </c>
      <c r="J290" s="18">
        <f t="shared" si="232"/>
        <v>0</v>
      </c>
      <c r="K290" s="19">
        <v>0</v>
      </c>
      <c r="L290" s="19">
        <v>0</v>
      </c>
      <c r="M290" s="19">
        <v>0</v>
      </c>
      <c r="N290" s="19">
        <v>0</v>
      </c>
      <c r="O290" s="18">
        <f t="shared" si="233"/>
        <v>0</v>
      </c>
      <c r="P290" s="19">
        <v>0</v>
      </c>
      <c r="Q290" s="19">
        <v>0</v>
      </c>
      <c r="R290" s="19">
        <f>2300-2300</f>
        <v>0</v>
      </c>
      <c r="S290" s="19">
        <v>0</v>
      </c>
      <c r="T290" s="18">
        <f t="shared" si="234"/>
        <v>2300</v>
      </c>
      <c r="U290" s="19">
        <v>0</v>
      </c>
      <c r="V290" s="19">
        <v>0</v>
      </c>
      <c r="W290" s="19">
        <v>2300</v>
      </c>
      <c r="X290" s="19">
        <v>0</v>
      </c>
      <c r="Y290" s="18">
        <f t="shared" si="235"/>
        <v>0</v>
      </c>
      <c r="Z290" s="19">
        <v>0</v>
      </c>
      <c r="AA290" s="19">
        <v>0</v>
      </c>
      <c r="AB290" s="19">
        <v>0</v>
      </c>
      <c r="AC290" s="19">
        <v>0</v>
      </c>
      <c r="AD290" s="18">
        <f t="shared" si="236"/>
        <v>0</v>
      </c>
      <c r="AE290" s="19">
        <v>0</v>
      </c>
      <c r="AF290" s="19">
        <v>0</v>
      </c>
      <c r="AG290" s="19">
        <v>0</v>
      </c>
      <c r="AH290" s="19">
        <v>0</v>
      </c>
      <c r="AI290" s="18">
        <f t="shared" si="237"/>
        <v>0</v>
      </c>
      <c r="AJ290" s="19">
        <v>0</v>
      </c>
      <c r="AK290" s="19">
        <v>0</v>
      </c>
      <c r="AL290" s="19">
        <v>0</v>
      </c>
      <c r="AM290" s="19">
        <v>0</v>
      </c>
    </row>
    <row r="291" spans="1:39" s="2" customFormat="1" ht="63" outlineLevel="2" x14ac:dyDescent="0.25">
      <c r="A291" s="8" t="s">
        <v>195</v>
      </c>
      <c r="B291" s="29" t="s">
        <v>114</v>
      </c>
      <c r="C291" s="26" t="s">
        <v>32</v>
      </c>
      <c r="D291" s="31" t="s">
        <v>8</v>
      </c>
      <c r="E291" s="20">
        <f t="shared" si="230"/>
        <v>1974.6</v>
      </c>
      <c r="F291" s="38">
        <f t="shared" si="238"/>
        <v>0</v>
      </c>
      <c r="G291" s="38">
        <f t="shared" si="239"/>
        <v>0</v>
      </c>
      <c r="H291" s="38">
        <f t="shared" si="240"/>
        <v>1974.6</v>
      </c>
      <c r="I291" s="38">
        <f t="shared" si="231"/>
        <v>0</v>
      </c>
      <c r="J291" s="18">
        <f t="shared" si="232"/>
        <v>0</v>
      </c>
      <c r="K291" s="19">
        <v>0</v>
      </c>
      <c r="L291" s="19">
        <v>0</v>
      </c>
      <c r="M291" s="19">
        <v>0</v>
      </c>
      <c r="N291" s="19">
        <v>0</v>
      </c>
      <c r="O291" s="18">
        <f t="shared" si="233"/>
        <v>1974.6</v>
      </c>
      <c r="P291" s="19">
        <v>0</v>
      </c>
      <c r="Q291" s="19">
        <v>0</v>
      </c>
      <c r="R291" s="19">
        <f>4200-2225.4</f>
        <v>1974.6</v>
      </c>
      <c r="S291" s="19">
        <v>0</v>
      </c>
      <c r="T291" s="18">
        <f t="shared" si="234"/>
        <v>0</v>
      </c>
      <c r="U291" s="19">
        <v>0</v>
      </c>
      <c r="V291" s="19">
        <v>0</v>
      </c>
      <c r="W291" s="19">
        <v>0</v>
      </c>
      <c r="X291" s="19">
        <v>0</v>
      </c>
      <c r="Y291" s="18">
        <f t="shared" si="235"/>
        <v>0</v>
      </c>
      <c r="Z291" s="19">
        <v>0</v>
      </c>
      <c r="AA291" s="19">
        <v>0</v>
      </c>
      <c r="AB291" s="19">
        <v>0</v>
      </c>
      <c r="AC291" s="19">
        <v>0</v>
      </c>
      <c r="AD291" s="18">
        <f t="shared" si="236"/>
        <v>0</v>
      </c>
      <c r="AE291" s="19">
        <v>0</v>
      </c>
      <c r="AF291" s="19">
        <v>0</v>
      </c>
      <c r="AG291" s="19">
        <v>0</v>
      </c>
      <c r="AH291" s="19">
        <v>0</v>
      </c>
      <c r="AI291" s="18">
        <f t="shared" si="237"/>
        <v>0</v>
      </c>
      <c r="AJ291" s="19">
        <v>0</v>
      </c>
      <c r="AK291" s="19">
        <v>0</v>
      </c>
      <c r="AL291" s="19">
        <v>0</v>
      </c>
      <c r="AM291" s="19">
        <v>0</v>
      </c>
    </row>
    <row r="292" spans="1:39" s="2" customFormat="1" ht="31.5" outlineLevel="2" x14ac:dyDescent="0.25">
      <c r="A292" s="8" t="s">
        <v>196</v>
      </c>
      <c r="B292" s="30" t="s">
        <v>115</v>
      </c>
      <c r="C292" s="26" t="s">
        <v>32</v>
      </c>
      <c r="D292" s="26" t="s">
        <v>8</v>
      </c>
      <c r="E292" s="20">
        <f t="shared" si="230"/>
        <v>29147</v>
      </c>
      <c r="F292" s="38">
        <f t="shared" si="238"/>
        <v>0</v>
      </c>
      <c r="G292" s="38">
        <f t="shared" si="239"/>
        <v>0</v>
      </c>
      <c r="H292" s="38">
        <f t="shared" si="240"/>
        <v>29147</v>
      </c>
      <c r="I292" s="38">
        <f t="shared" si="231"/>
        <v>0</v>
      </c>
      <c r="J292" s="18">
        <f t="shared" si="232"/>
        <v>28666.2</v>
      </c>
      <c r="K292" s="19">
        <v>0</v>
      </c>
      <c r="L292" s="19">
        <v>0</v>
      </c>
      <c r="M292" s="19">
        <v>28666.2</v>
      </c>
      <c r="N292" s="19">
        <v>0</v>
      </c>
      <c r="O292" s="18">
        <f t="shared" si="233"/>
        <v>480.8</v>
      </c>
      <c r="P292" s="19">
        <v>0</v>
      </c>
      <c r="Q292" s="19">
        <v>0</v>
      </c>
      <c r="R292" s="19">
        <v>480.8</v>
      </c>
      <c r="S292" s="19">
        <v>0</v>
      </c>
      <c r="T292" s="18">
        <f t="shared" si="234"/>
        <v>0</v>
      </c>
      <c r="U292" s="19">
        <v>0</v>
      </c>
      <c r="V292" s="19">
        <v>0</v>
      </c>
      <c r="W292" s="19">
        <v>0</v>
      </c>
      <c r="X292" s="19">
        <v>0</v>
      </c>
      <c r="Y292" s="18">
        <f t="shared" si="235"/>
        <v>0</v>
      </c>
      <c r="Z292" s="19">
        <v>0</v>
      </c>
      <c r="AA292" s="19">
        <v>0</v>
      </c>
      <c r="AB292" s="19">
        <v>0</v>
      </c>
      <c r="AC292" s="19">
        <v>0</v>
      </c>
      <c r="AD292" s="18">
        <f t="shared" si="236"/>
        <v>0</v>
      </c>
      <c r="AE292" s="19">
        <v>0</v>
      </c>
      <c r="AF292" s="19">
        <v>0</v>
      </c>
      <c r="AG292" s="19">
        <v>0</v>
      </c>
      <c r="AH292" s="19">
        <v>0</v>
      </c>
      <c r="AI292" s="18">
        <f t="shared" si="237"/>
        <v>0</v>
      </c>
      <c r="AJ292" s="19">
        <v>0</v>
      </c>
      <c r="AK292" s="19">
        <v>0</v>
      </c>
      <c r="AL292" s="19">
        <v>0</v>
      </c>
      <c r="AM292" s="19">
        <v>0</v>
      </c>
    </row>
    <row r="293" spans="1:39" s="2" customFormat="1" ht="78.75" outlineLevel="2" x14ac:dyDescent="0.25">
      <c r="A293" s="8" t="s">
        <v>261</v>
      </c>
      <c r="B293" s="30" t="s">
        <v>262</v>
      </c>
      <c r="C293" s="26" t="s">
        <v>377</v>
      </c>
      <c r="D293" s="26" t="s">
        <v>31</v>
      </c>
      <c r="E293" s="20">
        <f t="shared" si="230"/>
        <v>13070.2</v>
      </c>
      <c r="F293" s="38">
        <f t="shared" si="238"/>
        <v>0</v>
      </c>
      <c r="G293" s="38">
        <f t="shared" si="239"/>
        <v>12939.5</v>
      </c>
      <c r="H293" s="38">
        <f t="shared" si="240"/>
        <v>130.69999999999999</v>
      </c>
      <c r="I293" s="38">
        <f t="shared" si="231"/>
        <v>0</v>
      </c>
      <c r="J293" s="18">
        <f t="shared" si="232"/>
        <v>13070.2</v>
      </c>
      <c r="K293" s="19">
        <v>0</v>
      </c>
      <c r="L293" s="19">
        <v>12939.5</v>
      </c>
      <c r="M293" s="19">
        <v>130.69999999999999</v>
      </c>
      <c r="N293" s="19">
        <v>0</v>
      </c>
      <c r="O293" s="18">
        <f t="shared" si="233"/>
        <v>0</v>
      </c>
      <c r="P293" s="19">
        <v>0</v>
      </c>
      <c r="Q293" s="19">
        <v>0</v>
      </c>
      <c r="R293" s="19">
        <v>0</v>
      </c>
      <c r="S293" s="19">
        <v>0</v>
      </c>
      <c r="T293" s="18">
        <f t="shared" si="234"/>
        <v>0</v>
      </c>
      <c r="U293" s="19">
        <v>0</v>
      </c>
      <c r="V293" s="19">
        <v>0</v>
      </c>
      <c r="W293" s="19">
        <v>0</v>
      </c>
      <c r="X293" s="19">
        <v>0</v>
      </c>
      <c r="Y293" s="18">
        <f t="shared" si="235"/>
        <v>0</v>
      </c>
      <c r="Z293" s="19">
        <v>0</v>
      </c>
      <c r="AA293" s="19">
        <v>0</v>
      </c>
      <c r="AB293" s="19">
        <v>0</v>
      </c>
      <c r="AC293" s="19">
        <v>0</v>
      </c>
      <c r="AD293" s="18">
        <f t="shared" si="236"/>
        <v>0</v>
      </c>
      <c r="AE293" s="19">
        <v>0</v>
      </c>
      <c r="AF293" s="19">
        <v>0</v>
      </c>
      <c r="AG293" s="19">
        <v>0</v>
      </c>
      <c r="AH293" s="19">
        <v>0</v>
      </c>
      <c r="AI293" s="18">
        <f t="shared" si="237"/>
        <v>0</v>
      </c>
      <c r="AJ293" s="19">
        <v>0</v>
      </c>
      <c r="AK293" s="19">
        <v>0</v>
      </c>
      <c r="AL293" s="19">
        <v>0</v>
      </c>
      <c r="AM293" s="19">
        <v>0</v>
      </c>
    </row>
    <row r="294" spans="1:39" s="2" customFormat="1" ht="47.25" outlineLevel="2" x14ac:dyDescent="0.25">
      <c r="A294" s="8" t="s">
        <v>263</v>
      </c>
      <c r="B294" s="33" t="s">
        <v>270</v>
      </c>
      <c r="C294" s="26" t="s">
        <v>32</v>
      </c>
      <c r="D294" s="26" t="s">
        <v>8</v>
      </c>
      <c r="E294" s="20">
        <f t="shared" si="230"/>
        <v>1476.6</v>
      </c>
      <c r="F294" s="38">
        <f t="shared" si="238"/>
        <v>0</v>
      </c>
      <c r="G294" s="38">
        <f t="shared" si="239"/>
        <v>1461.8</v>
      </c>
      <c r="H294" s="38">
        <f t="shared" si="240"/>
        <v>14.8</v>
      </c>
      <c r="I294" s="38">
        <f t="shared" si="231"/>
        <v>0</v>
      </c>
      <c r="J294" s="18">
        <f t="shared" si="232"/>
        <v>1476.6</v>
      </c>
      <c r="K294" s="19">
        <v>0</v>
      </c>
      <c r="L294" s="19">
        <v>1461.8</v>
      </c>
      <c r="M294" s="19">
        <v>14.8</v>
      </c>
      <c r="N294" s="19">
        <v>0</v>
      </c>
      <c r="O294" s="18">
        <f t="shared" si="233"/>
        <v>0</v>
      </c>
      <c r="P294" s="19">
        <v>0</v>
      </c>
      <c r="Q294" s="19">
        <v>0</v>
      </c>
      <c r="R294" s="19">
        <v>0</v>
      </c>
      <c r="S294" s="19">
        <v>0</v>
      </c>
      <c r="T294" s="18">
        <f t="shared" si="234"/>
        <v>0</v>
      </c>
      <c r="U294" s="19">
        <v>0</v>
      </c>
      <c r="V294" s="19">
        <v>0</v>
      </c>
      <c r="W294" s="19">
        <v>0</v>
      </c>
      <c r="X294" s="19">
        <v>0</v>
      </c>
      <c r="Y294" s="18">
        <f t="shared" si="235"/>
        <v>0</v>
      </c>
      <c r="Z294" s="19">
        <v>0</v>
      </c>
      <c r="AA294" s="19">
        <v>0</v>
      </c>
      <c r="AB294" s="19">
        <v>0</v>
      </c>
      <c r="AC294" s="19">
        <v>0</v>
      </c>
      <c r="AD294" s="18">
        <f t="shared" si="236"/>
        <v>0</v>
      </c>
      <c r="AE294" s="19">
        <v>0</v>
      </c>
      <c r="AF294" s="19">
        <v>0</v>
      </c>
      <c r="AG294" s="19">
        <v>0</v>
      </c>
      <c r="AH294" s="19">
        <v>0</v>
      </c>
      <c r="AI294" s="18">
        <f t="shared" si="237"/>
        <v>0</v>
      </c>
      <c r="AJ294" s="19">
        <v>0</v>
      </c>
      <c r="AK294" s="19">
        <v>0</v>
      </c>
      <c r="AL294" s="19">
        <v>0</v>
      </c>
      <c r="AM294" s="19">
        <v>0</v>
      </c>
    </row>
    <row r="295" spans="1:39" s="2" customFormat="1" ht="63" outlineLevel="2" x14ac:dyDescent="0.25">
      <c r="A295" s="8" t="s">
        <v>334</v>
      </c>
      <c r="B295" s="53" t="s">
        <v>360</v>
      </c>
      <c r="C295" s="26" t="s">
        <v>32</v>
      </c>
      <c r="D295" s="31" t="s">
        <v>8</v>
      </c>
      <c r="E295" s="20">
        <f t="shared" si="230"/>
        <v>1923.6</v>
      </c>
      <c r="F295" s="38">
        <f t="shared" si="239"/>
        <v>0</v>
      </c>
      <c r="G295" s="38">
        <f t="shared" si="239"/>
        <v>0</v>
      </c>
      <c r="H295" s="38">
        <f t="shared" si="240"/>
        <v>1923.6</v>
      </c>
      <c r="I295" s="38">
        <f t="shared" si="231"/>
        <v>0</v>
      </c>
      <c r="J295" s="18">
        <f t="shared" si="232"/>
        <v>0</v>
      </c>
      <c r="K295" s="19">
        <v>0</v>
      </c>
      <c r="L295" s="19">
        <v>0</v>
      </c>
      <c r="M295" s="19">
        <v>0</v>
      </c>
      <c r="N295" s="19">
        <v>0</v>
      </c>
      <c r="O295" s="18">
        <f t="shared" si="233"/>
        <v>916.8</v>
      </c>
      <c r="P295" s="19">
        <v>0</v>
      </c>
      <c r="Q295" s="19">
        <v>0</v>
      </c>
      <c r="R295" s="19">
        <v>916.8</v>
      </c>
      <c r="S295" s="19">
        <v>0</v>
      </c>
      <c r="T295" s="18">
        <f t="shared" si="234"/>
        <v>1006.8</v>
      </c>
      <c r="U295" s="19">
        <v>0</v>
      </c>
      <c r="V295" s="19">
        <v>0</v>
      </c>
      <c r="W295" s="19">
        <v>1006.8</v>
      </c>
      <c r="X295" s="19">
        <v>0</v>
      </c>
      <c r="Y295" s="18">
        <f t="shared" si="235"/>
        <v>0</v>
      </c>
      <c r="Z295" s="19">
        <v>0</v>
      </c>
      <c r="AA295" s="19">
        <v>0</v>
      </c>
      <c r="AB295" s="19">
        <v>0</v>
      </c>
      <c r="AC295" s="19">
        <v>0</v>
      </c>
      <c r="AD295" s="18">
        <f t="shared" si="236"/>
        <v>0</v>
      </c>
      <c r="AE295" s="19">
        <v>0</v>
      </c>
      <c r="AF295" s="19">
        <v>0</v>
      </c>
      <c r="AG295" s="19">
        <v>0</v>
      </c>
      <c r="AH295" s="19">
        <v>0</v>
      </c>
      <c r="AI295" s="18">
        <f t="shared" si="237"/>
        <v>0</v>
      </c>
      <c r="AJ295" s="19">
        <v>0</v>
      </c>
      <c r="AK295" s="19">
        <v>0</v>
      </c>
      <c r="AL295" s="19">
        <v>0</v>
      </c>
      <c r="AM295" s="19">
        <v>0</v>
      </c>
    </row>
    <row r="296" spans="1:39" s="2" customFormat="1" ht="94.5" outlineLevel="2" x14ac:dyDescent="0.25">
      <c r="A296" s="8" t="s">
        <v>469</v>
      </c>
      <c r="B296" s="53" t="s">
        <v>468</v>
      </c>
      <c r="C296" s="26" t="s">
        <v>32</v>
      </c>
      <c r="D296" s="31" t="s">
        <v>8</v>
      </c>
      <c r="E296" s="20">
        <f>SUM(F296:I296)</f>
        <v>482.59999999999997</v>
      </c>
      <c r="F296" s="38">
        <f>K296+P296+U296+Z296+AE296+AJ296</f>
        <v>0</v>
      </c>
      <c r="G296" s="38">
        <f>L296+Q296+V296+AA296+AF296+AK296</f>
        <v>0</v>
      </c>
      <c r="H296" s="38">
        <f>M296+R296+W296+AB296+AG296+AL296</f>
        <v>482.59999999999997</v>
      </c>
      <c r="I296" s="38">
        <f>N296+S296+X296+AC296+AH296+AM296</f>
        <v>0</v>
      </c>
      <c r="J296" s="18">
        <v>0</v>
      </c>
      <c r="K296" s="19">
        <v>0</v>
      </c>
      <c r="L296" s="19">
        <v>0</v>
      </c>
      <c r="M296" s="19">
        <v>0</v>
      </c>
      <c r="N296" s="19">
        <v>0</v>
      </c>
      <c r="O296" s="18">
        <f>R296</f>
        <v>482.59999999999997</v>
      </c>
      <c r="P296" s="19">
        <v>0</v>
      </c>
      <c r="Q296" s="19">
        <v>0</v>
      </c>
      <c r="R296" s="19">
        <f>758.8-276.2</f>
        <v>482.59999999999997</v>
      </c>
      <c r="S296" s="19">
        <v>0</v>
      </c>
      <c r="T296" s="18">
        <v>0</v>
      </c>
      <c r="U296" s="19">
        <v>0</v>
      </c>
      <c r="V296" s="19">
        <v>0</v>
      </c>
      <c r="W296" s="19">
        <v>0</v>
      </c>
      <c r="X296" s="19">
        <v>0</v>
      </c>
      <c r="Y296" s="18">
        <v>0</v>
      </c>
      <c r="Z296" s="19">
        <v>0</v>
      </c>
      <c r="AA296" s="19">
        <v>0</v>
      </c>
      <c r="AB296" s="19">
        <v>0</v>
      </c>
      <c r="AC296" s="19">
        <v>0</v>
      </c>
      <c r="AD296" s="18">
        <v>0</v>
      </c>
      <c r="AE296" s="19">
        <v>0</v>
      </c>
      <c r="AF296" s="19">
        <v>0</v>
      </c>
      <c r="AG296" s="19">
        <v>0</v>
      </c>
      <c r="AH296" s="19">
        <v>0</v>
      </c>
      <c r="AI296" s="18">
        <v>0</v>
      </c>
      <c r="AJ296" s="19">
        <v>0</v>
      </c>
      <c r="AK296" s="19">
        <v>0</v>
      </c>
      <c r="AL296" s="19">
        <v>0</v>
      </c>
      <c r="AM296" s="19">
        <v>0</v>
      </c>
    </row>
    <row r="297" spans="1:39" s="5" customFormat="1" ht="34.5" customHeight="1" outlineLevel="1" x14ac:dyDescent="0.25">
      <c r="A297" s="138" t="s">
        <v>197</v>
      </c>
      <c r="B297" s="191" t="s">
        <v>36</v>
      </c>
      <c r="C297" s="174"/>
      <c r="D297" s="174"/>
      <c r="E297" s="18">
        <f t="shared" ref="E297:AM297" si="241">E298+E300+E311</f>
        <v>798006.70000000007</v>
      </c>
      <c r="F297" s="18">
        <f t="shared" si="241"/>
        <v>0</v>
      </c>
      <c r="G297" s="18">
        <f t="shared" si="241"/>
        <v>0</v>
      </c>
      <c r="H297" s="18">
        <f t="shared" si="241"/>
        <v>798006.70000000007</v>
      </c>
      <c r="I297" s="18">
        <f t="shared" si="241"/>
        <v>0</v>
      </c>
      <c r="J297" s="18">
        <f t="shared" si="241"/>
        <v>131847.9</v>
      </c>
      <c r="K297" s="18">
        <f t="shared" si="241"/>
        <v>0</v>
      </c>
      <c r="L297" s="18">
        <f t="shared" si="241"/>
        <v>0</v>
      </c>
      <c r="M297" s="18">
        <f t="shared" si="241"/>
        <v>131847.9</v>
      </c>
      <c r="N297" s="18">
        <f t="shared" si="241"/>
        <v>0</v>
      </c>
      <c r="O297" s="18">
        <f t="shared" si="241"/>
        <v>123882</v>
      </c>
      <c r="P297" s="18">
        <f t="shared" si="241"/>
        <v>0</v>
      </c>
      <c r="Q297" s="18">
        <f t="shared" si="241"/>
        <v>0</v>
      </c>
      <c r="R297" s="18">
        <f t="shared" si="241"/>
        <v>123882</v>
      </c>
      <c r="S297" s="18">
        <f t="shared" si="241"/>
        <v>0</v>
      </c>
      <c r="T297" s="18">
        <f t="shared" si="241"/>
        <v>142076.6</v>
      </c>
      <c r="U297" s="18">
        <f t="shared" si="241"/>
        <v>0</v>
      </c>
      <c r="V297" s="18">
        <f t="shared" si="241"/>
        <v>0</v>
      </c>
      <c r="W297" s="18">
        <f t="shared" si="241"/>
        <v>142076.6</v>
      </c>
      <c r="X297" s="18">
        <f t="shared" si="241"/>
        <v>0</v>
      </c>
      <c r="Y297" s="18">
        <f t="shared" si="241"/>
        <v>129935.2</v>
      </c>
      <c r="Z297" s="18">
        <f t="shared" si="241"/>
        <v>0</v>
      </c>
      <c r="AA297" s="18">
        <f t="shared" si="241"/>
        <v>0</v>
      </c>
      <c r="AB297" s="18">
        <f t="shared" si="241"/>
        <v>129935.2</v>
      </c>
      <c r="AC297" s="18">
        <f t="shared" si="241"/>
        <v>0</v>
      </c>
      <c r="AD297" s="18">
        <f t="shared" si="241"/>
        <v>135132.5</v>
      </c>
      <c r="AE297" s="18">
        <f t="shared" si="241"/>
        <v>0</v>
      </c>
      <c r="AF297" s="18">
        <f t="shared" si="241"/>
        <v>0</v>
      </c>
      <c r="AG297" s="18">
        <f t="shared" si="241"/>
        <v>135132.5</v>
      </c>
      <c r="AH297" s="18">
        <f t="shared" si="241"/>
        <v>0</v>
      </c>
      <c r="AI297" s="18">
        <f t="shared" si="241"/>
        <v>135132.5</v>
      </c>
      <c r="AJ297" s="18">
        <f t="shared" si="241"/>
        <v>0</v>
      </c>
      <c r="AK297" s="18">
        <f t="shared" si="241"/>
        <v>0</v>
      </c>
      <c r="AL297" s="18">
        <f t="shared" si="241"/>
        <v>135132.5</v>
      </c>
      <c r="AM297" s="18">
        <f t="shared" si="241"/>
        <v>0</v>
      </c>
    </row>
    <row r="298" spans="1:39" s="5" customFormat="1" ht="50.25" customHeight="1" outlineLevel="2" x14ac:dyDescent="0.25">
      <c r="A298" s="138" t="s">
        <v>198</v>
      </c>
      <c r="B298" s="179" t="s">
        <v>67</v>
      </c>
      <c r="C298" s="175"/>
      <c r="D298" s="176"/>
      <c r="E298" s="21">
        <f>E299</f>
        <v>369419.2</v>
      </c>
      <c r="F298" s="21">
        <f t="shared" ref="F298:AM298" si="242">F299</f>
        <v>0</v>
      </c>
      <c r="G298" s="21">
        <f t="shared" si="242"/>
        <v>0</v>
      </c>
      <c r="H298" s="21">
        <f t="shared" si="242"/>
        <v>369419.2</v>
      </c>
      <c r="I298" s="21">
        <f t="shared" si="242"/>
        <v>0</v>
      </c>
      <c r="J298" s="21">
        <f t="shared" si="242"/>
        <v>51113.7</v>
      </c>
      <c r="K298" s="21">
        <f t="shared" si="242"/>
        <v>0</v>
      </c>
      <c r="L298" s="21">
        <f t="shared" si="242"/>
        <v>0</v>
      </c>
      <c r="M298" s="21">
        <f t="shared" si="242"/>
        <v>51113.7</v>
      </c>
      <c r="N298" s="21">
        <f t="shared" si="242"/>
        <v>0</v>
      </c>
      <c r="O298" s="21">
        <f t="shared" si="242"/>
        <v>58162.899999999994</v>
      </c>
      <c r="P298" s="21">
        <f t="shared" si="242"/>
        <v>0</v>
      </c>
      <c r="Q298" s="21">
        <f t="shared" si="242"/>
        <v>0</v>
      </c>
      <c r="R298" s="21">
        <f t="shared" si="242"/>
        <v>58162.899999999994</v>
      </c>
      <c r="S298" s="21">
        <f t="shared" si="242"/>
        <v>0</v>
      </c>
      <c r="T298" s="21">
        <f t="shared" si="242"/>
        <v>61771.4</v>
      </c>
      <c r="U298" s="21">
        <f t="shared" si="242"/>
        <v>0</v>
      </c>
      <c r="V298" s="21">
        <f t="shared" si="242"/>
        <v>0</v>
      </c>
      <c r="W298" s="21">
        <f t="shared" si="242"/>
        <v>61771.4</v>
      </c>
      <c r="X298" s="21">
        <f t="shared" si="242"/>
        <v>0</v>
      </c>
      <c r="Y298" s="21">
        <f t="shared" si="242"/>
        <v>64406.2</v>
      </c>
      <c r="Z298" s="21">
        <f t="shared" si="242"/>
        <v>0</v>
      </c>
      <c r="AA298" s="21">
        <f t="shared" si="242"/>
        <v>0</v>
      </c>
      <c r="AB298" s="21">
        <f t="shared" si="242"/>
        <v>64406.2</v>
      </c>
      <c r="AC298" s="21">
        <f t="shared" si="242"/>
        <v>0</v>
      </c>
      <c r="AD298" s="21">
        <f t="shared" si="242"/>
        <v>66982.5</v>
      </c>
      <c r="AE298" s="21">
        <f t="shared" si="242"/>
        <v>0</v>
      </c>
      <c r="AF298" s="21">
        <f t="shared" si="242"/>
        <v>0</v>
      </c>
      <c r="AG298" s="21">
        <f t="shared" si="242"/>
        <v>66982.5</v>
      </c>
      <c r="AH298" s="21">
        <f t="shared" si="242"/>
        <v>0</v>
      </c>
      <c r="AI298" s="21">
        <f t="shared" si="242"/>
        <v>66982.5</v>
      </c>
      <c r="AJ298" s="21">
        <f t="shared" si="242"/>
        <v>0</v>
      </c>
      <c r="AK298" s="21">
        <f t="shared" si="242"/>
        <v>0</v>
      </c>
      <c r="AL298" s="21">
        <f t="shared" si="242"/>
        <v>66982.5</v>
      </c>
      <c r="AM298" s="21">
        <f t="shared" si="242"/>
        <v>0</v>
      </c>
    </row>
    <row r="299" spans="1:39" s="5" customFormat="1" ht="78.75" outlineLevel="3" x14ac:dyDescent="0.25">
      <c r="A299" s="8" t="s">
        <v>267</v>
      </c>
      <c r="B299" s="17" t="s">
        <v>272</v>
      </c>
      <c r="C299" s="9" t="s">
        <v>32</v>
      </c>
      <c r="D299" s="9" t="s">
        <v>268</v>
      </c>
      <c r="E299" s="20">
        <f>SUM(F299:I299)</f>
        <v>369419.2</v>
      </c>
      <c r="F299" s="38">
        <f>K299+P299+U299</f>
        <v>0</v>
      </c>
      <c r="G299" s="38">
        <f>L299+Q299+V299+AA299+AF299+AK299</f>
        <v>0</v>
      </c>
      <c r="H299" s="38">
        <f>M299+R299+W299+AB299+AG299+AL299</f>
        <v>369419.2</v>
      </c>
      <c r="I299" s="38">
        <f t="shared" ref="I299:I310" si="243">N299+S299+X299+AC299+AH299+AM299</f>
        <v>0</v>
      </c>
      <c r="J299" s="18">
        <f t="shared" ref="J299:J310" si="244">SUM(K299:N299)</f>
        <v>51113.7</v>
      </c>
      <c r="K299" s="21">
        <v>0</v>
      </c>
      <c r="L299" s="21">
        <v>0</v>
      </c>
      <c r="M299" s="22">
        <v>51113.7</v>
      </c>
      <c r="N299" s="21">
        <v>0</v>
      </c>
      <c r="O299" s="18">
        <f t="shared" ref="O299:O310" si="245">SUM(P299:S299)</f>
        <v>58162.899999999994</v>
      </c>
      <c r="P299" s="21">
        <v>0</v>
      </c>
      <c r="Q299" s="21">
        <v>0</v>
      </c>
      <c r="R299" s="22">
        <f>55234.2+2928.7</f>
        <v>58162.899999999994</v>
      </c>
      <c r="S299" s="21">
        <v>0</v>
      </c>
      <c r="T299" s="18">
        <f t="shared" ref="T299:T310" si="246">SUM(U299:X299)</f>
        <v>61771.4</v>
      </c>
      <c r="U299" s="21">
        <v>0</v>
      </c>
      <c r="V299" s="21">
        <v>0</v>
      </c>
      <c r="W299" s="22">
        <v>61771.4</v>
      </c>
      <c r="X299" s="21">
        <v>0</v>
      </c>
      <c r="Y299" s="18">
        <f>SUM(Z299:AC299)</f>
        <v>64406.2</v>
      </c>
      <c r="Z299" s="21">
        <v>0</v>
      </c>
      <c r="AA299" s="21">
        <v>0</v>
      </c>
      <c r="AB299" s="22">
        <v>64406.2</v>
      </c>
      <c r="AC299" s="21">
        <v>0</v>
      </c>
      <c r="AD299" s="18">
        <f>SUM(AE299:AH299)</f>
        <v>66982.5</v>
      </c>
      <c r="AE299" s="21">
        <v>0</v>
      </c>
      <c r="AF299" s="21">
        <v>0</v>
      </c>
      <c r="AG299" s="22">
        <v>66982.5</v>
      </c>
      <c r="AH299" s="21">
        <v>0</v>
      </c>
      <c r="AI299" s="18">
        <f>SUM(AJ299:AM299)</f>
        <v>66982.5</v>
      </c>
      <c r="AJ299" s="21">
        <v>0</v>
      </c>
      <c r="AK299" s="21">
        <v>0</v>
      </c>
      <c r="AL299" s="22">
        <v>66982.5</v>
      </c>
      <c r="AM299" s="21">
        <v>0</v>
      </c>
    </row>
    <row r="300" spans="1:39" s="5" customFormat="1" ht="66" customHeight="1" outlineLevel="2" x14ac:dyDescent="0.25">
      <c r="A300" s="138" t="s">
        <v>199</v>
      </c>
      <c r="B300" s="176" t="s">
        <v>585</v>
      </c>
      <c r="C300" s="182"/>
      <c r="D300" s="182"/>
      <c r="E300" s="21">
        <f t="shared" ref="E300:AM300" si="247">SUM(E301:E310)</f>
        <v>387238.1</v>
      </c>
      <c r="F300" s="21">
        <f t="shared" si="247"/>
        <v>0</v>
      </c>
      <c r="G300" s="21">
        <f t="shared" si="247"/>
        <v>0</v>
      </c>
      <c r="H300" s="21">
        <f t="shared" si="247"/>
        <v>387238.1</v>
      </c>
      <c r="I300" s="21">
        <f t="shared" si="247"/>
        <v>0</v>
      </c>
      <c r="J300" s="21">
        <f t="shared" si="247"/>
        <v>61144.1</v>
      </c>
      <c r="K300" s="21">
        <f t="shared" si="247"/>
        <v>0</v>
      </c>
      <c r="L300" s="21">
        <f t="shared" si="247"/>
        <v>0</v>
      </c>
      <c r="M300" s="21">
        <f t="shared" si="247"/>
        <v>61144.1</v>
      </c>
      <c r="N300" s="21">
        <f t="shared" si="247"/>
        <v>0</v>
      </c>
      <c r="O300" s="21">
        <f t="shared" si="247"/>
        <v>61013.200000000004</v>
      </c>
      <c r="P300" s="21">
        <f t="shared" si="247"/>
        <v>0</v>
      </c>
      <c r="Q300" s="21">
        <f t="shared" si="247"/>
        <v>0</v>
      </c>
      <c r="R300" s="21">
        <f t="shared" si="247"/>
        <v>61013.200000000004</v>
      </c>
      <c r="S300" s="21">
        <f t="shared" si="247"/>
        <v>0</v>
      </c>
      <c r="T300" s="21">
        <f t="shared" si="247"/>
        <v>63251.8</v>
      </c>
      <c r="U300" s="21">
        <f t="shared" si="247"/>
        <v>0</v>
      </c>
      <c r="V300" s="21">
        <f t="shared" si="247"/>
        <v>0</v>
      </c>
      <c r="W300" s="21">
        <f t="shared" si="247"/>
        <v>63251.8</v>
      </c>
      <c r="X300" s="21">
        <f t="shared" si="247"/>
        <v>0</v>
      </c>
      <c r="Y300" s="21">
        <f t="shared" si="247"/>
        <v>65529</v>
      </c>
      <c r="Z300" s="21">
        <f t="shared" si="247"/>
        <v>0</v>
      </c>
      <c r="AA300" s="21">
        <f t="shared" si="247"/>
        <v>0</v>
      </c>
      <c r="AB300" s="21">
        <f t="shared" si="247"/>
        <v>65529</v>
      </c>
      <c r="AC300" s="21">
        <f t="shared" si="247"/>
        <v>0</v>
      </c>
      <c r="AD300" s="21">
        <f t="shared" si="247"/>
        <v>68150</v>
      </c>
      <c r="AE300" s="21">
        <f t="shared" si="247"/>
        <v>0</v>
      </c>
      <c r="AF300" s="21">
        <f t="shared" si="247"/>
        <v>0</v>
      </c>
      <c r="AG300" s="21">
        <f t="shared" si="247"/>
        <v>68150</v>
      </c>
      <c r="AH300" s="21">
        <f t="shared" si="247"/>
        <v>0</v>
      </c>
      <c r="AI300" s="21">
        <f t="shared" si="247"/>
        <v>68150</v>
      </c>
      <c r="AJ300" s="21">
        <f t="shared" si="247"/>
        <v>0</v>
      </c>
      <c r="AK300" s="21">
        <f t="shared" si="247"/>
        <v>0</v>
      </c>
      <c r="AL300" s="21">
        <f t="shared" si="247"/>
        <v>68150</v>
      </c>
      <c r="AM300" s="21">
        <f t="shared" si="247"/>
        <v>0</v>
      </c>
    </row>
    <row r="301" spans="1:39" s="2" customFormat="1" ht="31.5" outlineLevel="3" x14ac:dyDescent="0.25">
      <c r="A301" s="8" t="s">
        <v>200</v>
      </c>
      <c r="B301" s="33" t="s">
        <v>59</v>
      </c>
      <c r="C301" s="26" t="s">
        <v>32</v>
      </c>
      <c r="D301" s="26" t="s">
        <v>118</v>
      </c>
      <c r="E301" s="20">
        <f t="shared" ref="E301:E310" si="248">SUM(F301:I301)</f>
        <v>40707.899999999994</v>
      </c>
      <c r="F301" s="38">
        <f t="shared" ref="F301:F310" si="249">K301+P301+U301</f>
        <v>0</v>
      </c>
      <c r="G301" s="38">
        <f>L301+Q301+V301+AA301+AF301+AK301</f>
        <v>0</v>
      </c>
      <c r="H301" s="38">
        <f>M301+R301+W301+AB301+AG301+AL301</f>
        <v>40707.899999999994</v>
      </c>
      <c r="I301" s="38">
        <f t="shared" si="243"/>
        <v>0</v>
      </c>
      <c r="J301" s="18">
        <f t="shared" si="244"/>
        <v>6137.9</v>
      </c>
      <c r="K301" s="19">
        <v>0</v>
      </c>
      <c r="L301" s="19">
        <v>0</v>
      </c>
      <c r="M301" s="19">
        <v>6137.9</v>
      </c>
      <c r="N301" s="19">
        <v>0</v>
      </c>
      <c r="O301" s="18">
        <f t="shared" si="245"/>
        <v>6694.2999999999993</v>
      </c>
      <c r="P301" s="19">
        <v>0</v>
      </c>
      <c r="Q301" s="19">
        <v>0</v>
      </c>
      <c r="R301" s="19">
        <f>6383.4+310.9</f>
        <v>6694.2999999999993</v>
      </c>
      <c r="S301" s="19">
        <v>0</v>
      </c>
      <c r="T301" s="18">
        <f t="shared" si="246"/>
        <v>6651.5</v>
      </c>
      <c r="U301" s="19">
        <v>0</v>
      </c>
      <c r="V301" s="19">
        <v>0</v>
      </c>
      <c r="W301" s="106">
        <v>6651.5</v>
      </c>
      <c r="X301" s="19">
        <v>0</v>
      </c>
      <c r="Y301" s="18">
        <f t="shared" ref="Y301:Y310" si="250">SUM(Z301:AC301)</f>
        <v>6891</v>
      </c>
      <c r="Z301" s="19">
        <v>0</v>
      </c>
      <c r="AA301" s="19">
        <v>0</v>
      </c>
      <c r="AB301" s="107">
        <v>6891</v>
      </c>
      <c r="AC301" s="19">
        <v>0</v>
      </c>
      <c r="AD301" s="18">
        <f t="shared" ref="AD301:AD310" si="251">SUM(AE301:AH301)</f>
        <v>7166.6</v>
      </c>
      <c r="AE301" s="19">
        <v>0</v>
      </c>
      <c r="AF301" s="19">
        <v>0</v>
      </c>
      <c r="AG301" s="108">
        <v>7166.6</v>
      </c>
      <c r="AH301" s="19">
        <v>0</v>
      </c>
      <c r="AI301" s="18">
        <f t="shared" ref="AI301:AI310" si="252">SUM(AJ301:AM301)</f>
        <v>7166.6</v>
      </c>
      <c r="AJ301" s="19">
        <v>0</v>
      </c>
      <c r="AK301" s="19">
        <v>0</v>
      </c>
      <c r="AL301" s="108">
        <v>7166.6</v>
      </c>
      <c r="AM301" s="19">
        <v>0</v>
      </c>
    </row>
    <row r="302" spans="1:39" s="2" customFormat="1" ht="31.5" outlineLevel="3" x14ac:dyDescent="0.25">
      <c r="A302" s="8" t="s">
        <v>201</v>
      </c>
      <c r="B302" s="25" t="s">
        <v>22</v>
      </c>
      <c r="C302" s="26" t="s">
        <v>32</v>
      </c>
      <c r="D302" s="26" t="s">
        <v>118</v>
      </c>
      <c r="E302" s="20">
        <f t="shared" si="248"/>
        <v>47154.5</v>
      </c>
      <c r="F302" s="38">
        <f t="shared" si="249"/>
        <v>0</v>
      </c>
      <c r="G302" s="38">
        <f t="shared" ref="G302:G310" si="253">L302+Q302+V302+AA302+AF302+AK302</f>
        <v>0</v>
      </c>
      <c r="H302" s="38">
        <f>M302+R302+W302+AB302+AG302+AL302</f>
        <v>47154.5</v>
      </c>
      <c r="I302" s="38">
        <f t="shared" si="243"/>
        <v>0</v>
      </c>
      <c r="J302" s="18">
        <f t="shared" si="244"/>
        <v>7164.6</v>
      </c>
      <c r="K302" s="19">
        <v>0</v>
      </c>
      <c r="L302" s="19">
        <v>0</v>
      </c>
      <c r="M302" s="19">
        <v>7164.6</v>
      </c>
      <c r="N302" s="19">
        <v>0</v>
      </c>
      <c r="O302" s="18">
        <f t="shared" si="245"/>
        <v>7451.2</v>
      </c>
      <c r="P302" s="19">
        <v>0</v>
      </c>
      <c r="Q302" s="19">
        <v>0</v>
      </c>
      <c r="R302" s="19">
        <v>7451.2</v>
      </c>
      <c r="S302" s="19">
        <v>0</v>
      </c>
      <c r="T302" s="18">
        <f t="shared" si="246"/>
        <v>7764.2</v>
      </c>
      <c r="U302" s="19">
        <v>0</v>
      </c>
      <c r="V302" s="19">
        <v>0</v>
      </c>
      <c r="W302" s="108">
        <v>7764.2</v>
      </c>
      <c r="X302" s="19">
        <v>0</v>
      </c>
      <c r="Y302" s="18">
        <f t="shared" si="250"/>
        <v>8043.7</v>
      </c>
      <c r="Z302" s="19">
        <v>0</v>
      </c>
      <c r="AA302" s="19">
        <v>0</v>
      </c>
      <c r="AB302" s="108">
        <v>8043.7</v>
      </c>
      <c r="AC302" s="19">
        <v>0</v>
      </c>
      <c r="AD302" s="18">
        <f t="shared" si="251"/>
        <v>8365.4</v>
      </c>
      <c r="AE302" s="19">
        <v>0</v>
      </c>
      <c r="AF302" s="19">
        <v>0</v>
      </c>
      <c r="AG302" s="108">
        <v>8365.4</v>
      </c>
      <c r="AH302" s="19">
        <v>0</v>
      </c>
      <c r="AI302" s="18">
        <f t="shared" si="252"/>
        <v>8365.4</v>
      </c>
      <c r="AJ302" s="19">
        <v>0</v>
      </c>
      <c r="AK302" s="19">
        <v>0</v>
      </c>
      <c r="AL302" s="108">
        <v>8365.4</v>
      </c>
      <c r="AM302" s="19">
        <v>0</v>
      </c>
    </row>
    <row r="303" spans="1:39" s="2" customFormat="1" ht="31.5" outlineLevel="3" x14ac:dyDescent="0.25">
      <c r="A303" s="8" t="s">
        <v>202</v>
      </c>
      <c r="B303" s="33" t="s">
        <v>49</v>
      </c>
      <c r="C303" s="26" t="s">
        <v>32</v>
      </c>
      <c r="D303" s="26" t="s">
        <v>118</v>
      </c>
      <c r="E303" s="20">
        <f t="shared" si="248"/>
        <v>31070.2</v>
      </c>
      <c r="F303" s="38">
        <f t="shared" si="249"/>
        <v>0</v>
      </c>
      <c r="G303" s="38">
        <f t="shared" si="253"/>
        <v>0</v>
      </c>
      <c r="H303" s="38">
        <f t="shared" ref="H303:H310" si="254">M303+R303+W303+AB303+AG303+AL303</f>
        <v>31070.2</v>
      </c>
      <c r="I303" s="38">
        <f t="shared" si="243"/>
        <v>0</v>
      </c>
      <c r="J303" s="18">
        <f t="shared" si="244"/>
        <v>4720.8</v>
      </c>
      <c r="K303" s="19">
        <v>0</v>
      </c>
      <c r="L303" s="19">
        <v>0</v>
      </c>
      <c r="M303" s="19">
        <v>4720.8</v>
      </c>
      <c r="N303" s="19">
        <v>0</v>
      </c>
      <c r="O303" s="18">
        <f t="shared" si="245"/>
        <v>4909.6000000000004</v>
      </c>
      <c r="P303" s="19">
        <v>0</v>
      </c>
      <c r="Q303" s="19">
        <v>0</v>
      </c>
      <c r="R303" s="19">
        <v>4909.6000000000004</v>
      </c>
      <c r="S303" s="19">
        <v>0</v>
      </c>
      <c r="T303" s="18">
        <f t="shared" si="246"/>
        <v>5115.8</v>
      </c>
      <c r="U303" s="19">
        <v>0</v>
      </c>
      <c r="V303" s="19">
        <v>0</v>
      </c>
      <c r="W303" s="108">
        <v>5115.8</v>
      </c>
      <c r="X303" s="19">
        <v>0</v>
      </c>
      <c r="Y303" s="18">
        <f t="shared" si="250"/>
        <v>5300</v>
      </c>
      <c r="Z303" s="19">
        <v>0</v>
      </c>
      <c r="AA303" s="19">
        <v>0</v>
      </c>
      <c r="AB303" s="108">
        <v>5300</v>
      </c>
      <c r="AC303" s="19">
        <v>0</v>
      </c>
      <c r="AD303" s="18">
        <f t="shared" si="251"/>
        <v>5512</v>
      </c>
      <c r="AE303" s="19">
        <v>0</v>
      </c>
      <c r="AF303" s="19">
        <v>0</v>
      </c>
      <c r="AG303" s="108">
        <v>5512</v>
      </c>
      <c r="AH303" s="19">
        <v>0</v>
      </c>
      <c r="AI303" s="18">
        <f t="shared" si="252"/>
        <v>5512</v>
      </c>
      <c r="AJ303" s="19">
        <v>0</v>
      </c>
      <c r="AK303" s="19">
        <v>0</v>
      </c>
      <c r="AL303" s="108">
        <v>5512</v>
      </c>
      <c r="AM303" s="19">
        <v>0</v>
      </c>
    </row>
    <row r="304" spans="1:39" s="2" customFormat="1" ht="31.5" outlineLevel="3" x14ac:dyDescent="0.25">
      <c r="A304" s="8" t="s">
        <v>203</v>
      </c>
      <c r="B304" s="33" t="s">
        <v>51</v>
      </c>
      <c r="C304" s="26" t="s">
        <v>32</v>
      </c>
      <c r="D304" s="26" t="s">
        <v>118</v>
      </c>
      <c r="E304" s="20">
        <f t="shared" si="248"/>
        <v>5055.8999999999996</v>
      </c>
      <c r="F304" s="38">
        <f t="shared" si="249"/>
        <v>0</v>
      </c>
      <c r="G304" s="38">
        <f t="shared" si="253"/>
        <v>0</v>
      </c>
      <c r="H304" s="38">
        <f t="shared" si="254"/>
        <v>5055.8999999999996</v>
      </c>
      <c r="I304" s="38">
        <f t="shared" si="243"/>
        <v>0</v>
      </c>
      <c r="J304" s="18">
        <f t="shared" si="244"/>
        <v>5055.8999999999996</v>
      </c>
      <c r="K304" s="19">
        <v>0</v>
      </c>
      <c r="L304" s="19">
        <v>0</v>
      </c>
      <c r="M304" s="19">
        <v>5055.8999999999996</v>
      </c>
      <c r="N304" s="19">
        <v>0</v>
      </c>
      <c r="O304" s="18">
        <f t="shared" si="245"/>
        <v>0</v>
      </c>
      <c r="P304" s="19">
        <v>0</v>
      </c>
      <c r="Q304" s="19">
        <v>0</v>
      </c>
      <c r="R304" s="19">
        <v>0</v>
      </c>
      <c r="S304" s="19">
        <v>0</v>
      </c>
      <c r="T304" s="18">
        <f t="shared" si="246"/>
        <v>0</v>
      </c>
      <c r="U304" s="19">
        <v>0</v>
      </c>
      <c r="V304" s="19">
        <v>0</v>
      </c>
      <c r="W304" s="19">
        <v>0</v>
      </c>
      <c r="X304" s="19">
        <v>0</v>
      </c>
      <c r="Y304" s="18">
        <f t="shared" si="250"/>
        <v>0</v>
      </c>
      <c r="Z304" s="19">
        <v>0</v>
      </c>
      <c r="AA304" s="19">
        <v>0</v>
      </c>
      <c r="AB304" s="19">
        <v>0</v>
      </c>
      <c r="AC304" s="19">
        <v>0</v>
      </c>
      <c r="AD304" s="18">
        <f t="shared" si="251"/>
        <v>0</v>
      </c>
      <c r="AE304" s="19">
        <v>0</v>
      </c>
      <c r="AF304" s="19">
        <v>0</v>
      </c>
      <c r="AG304" s="19">
        <v>0</v>
      </c>
      <c r="AH304" s="19">
        <v>0</v>
      </c>
      <c r="AI304" s="18">
        <f t="shared" si="252"/>
        <v>0</v>
      </c>
      <c r="AJ304" s="19">
        <v>0</v>
      </c>
      <c r="AK304" s="19">
        <v>0</v>
      </c>
      <c r="AL304" s="19">
        <v>0</v>
      </c>
      <c r="AM304" s="19">
        <v>0</v>
      </c>
    </row>
    <row r="305" spans="1:39" s="2" customFormat="1" ht="31.5" outlineLevel="3" x14ac:dyDescent="0.25">
      <c r="A305" s="8" t="s">
        <v>204</v>
      </c>
      <c r="B305" s="33" t="s">
        <v>52</v>
      </c>
      <c r="C305" s="26" t="s">
        <v>32</v>
      </c>
      <c r="D305" s="26" t="s">
        <v>118</v>
      </c>
      <c r="E305" s="20">
        <f t="shared" si="248"/>
        <v>42307.5</v>
      </c>
      <c r="F305" s="38">
        <f t="shared" si="249"/>
        <v>0</v>
      </c>
      <c r="G305" s="38">
        <f t="shared" si="253"/>
        <v>0</v>
      </c>
      <c r="H305" s="38">
        <f t="shared" si="254"/>
        <v>42307.5</v>
      </c>
      <c r="I305" s="38">
        <f t="shared" si="243"/>
        <v>0</v>
      </c>
      <c r="J305" s="18">
        <f t="shared" si="244"/>
        <v>6096.5</v>
      </c>
      <c r="K305" s="19">
        <v>0</v>
      </c>
      <c r="L305" s="19">
        <v>0</v>
      </c>
      <c r="M305" s="19">
        <v>6096.5</v>
      </c>
      <c r="N305" s="19">
        <v>0</v>
      </c>
      <c r="O305" s="18">
        <f t="shared" si="245"/>
        <v>6747.0999999999995</v>
      </c>
      <c r="P305" s="19">
        <v>0</v>
      </c>
      <c r="Q305" s="19">
        <v>0</v>
      </c>
      <c r="R305" s="19">
        <f>6340.4+406.7</f>
        <v>6747.0999999999995</v>
      </c>
      <c r="S305" s="19">
        <v>0</v>
      </c>
      <c r="T305" s="18">
        <f t="shared" si="246"/>
        <v>7030.5</v>
      </c>
      <c r="U305" s="19">
        <v>0</v>
      </c>
      <c r="V305" s="19">
        <v>0</v>
      </c>
      <c r="W305" s="19">
        <v>7030.5</v>
      </c>
      <c r="X305" s="19">
        <v>0</v>
      </c>
      <c r="Y305" s="18">
        <f t="shared" si="250"/>
        <v>7283.6</v>
      </c>
      <c r="Z305" s="19">
        <v>0</v>
      </c>
      <c r="AA305" s="19">
        <v>0</v>
      </c>
      <c r="AB305" s="19">
        <v>7283.6</v>
      </c>
      <c r="AC305" s="19">
        <v>0</v>
      </c>
      <c r="AD305" s="18">
        <f t="shared" si="251"/>
        <v>7574.9</v>
      </c>
      <c r="AE305" s="19">
        <v>0</v>
      </c>
      <c r="AF305" s="19">
        <v>0</v>
      </c>
      <c r="AG305" s="19">
        <v>7574.9</v>
      </c>
      <c r="AH305" s="19">
        <v>0</v>
      </c>
      <c r="AI305" s="18">
        <f t="shared" si="252"/>
        <v>7574.9</v>
      </c>
      <c r="AJ305" s="19">
        <v>0</v>
      </c>
      <c r="AK305" s="19">
        <v>0</v>
      </c>
      <c r="AL305" s="19">
        <v>7574.9</v>
      </c>
      <c r="AM305" s="19">
        <v>0</v>
      </c>
    </row>
    <row r="306" spans="1:39" s="2" customFormat="1" ht="31.5" outlineLevel="3" x14ac:dyDescent="0.25">
      <c r="A306" s="8" t="s">
        <v>205</v>
      </c>
      <c r="B306" s="33" t="s">
        <v>62</v>
      </c>
      <c r="C306" s="26" t="s">
        <v>32</v>
      </c>
      <c r="D306" s="26" t="s">
        <v>118</v>
      </c>
      <c r="E306" s="20">
        <f t="shared" si="248"/>
        <v>37568</v>
      </c>
      <c r="F306" s="38">
        <f t="shared" si="249"/>
        <v>0</v>
      </c>
      <c r="G306" s="38">
        <f t="shared" si="253"/>
        <v>0</v>
      </c>
      <c r="H306" s="38">
        <f t="shared" si="254"/>
        <v>37568</v>
      </c>
      <c r="I306" s="38">
        <f t="shared" si="243"/>
        <v>0</v>
      </c>
      <c r="J306" s="18">
        <f t="shared" si="244"/>
        <v>5708.1</v>
      </c>
      <c r="K306" s="19">
        <v>0</v>
      </c>
      <c r="L306" s="19">
        <v>0</v>
      </c>
      <c r="M306" s="19">
        <v>5708.1</v>
      </c>
      <c r="N306" s="19">
        <v>0</v>
      </c>
      <c r="O306" s="18">
        <f t="shared" si="245"/>
        <v>5936.4</v>
      </c>
      <c r="P306" s="19">
        <v>0</v>
      </c>
      <c r="Q306" s="19">
        <v>0</v>
      </c>
      <c r="R306" s="19">
        <v>5936.4</v>
      </c>
      <c r="S306" s="19">
        <v>0</v>
      </c>
      <c r="T306" s="18">
        <f t="shared" si="246"/>
        <v>6185.7</v>
      </c>
      <c r="U306" s="19">
        <v>0</v>
      </c>
      <c r="V306" s="19">
        <v>0</v>
      </c>
      <c r="W306" s="108">
        <v>6185.7</v>
      </c>
      <c r="X306" s="19">
        <v>0</v>
      </c>
      <c r="Y306" s="18">
        <f t="shared" si="250"/>
        <v>6408.4</v>
      </c>
      <c r="Z306" s="19">
        <v>0</v>
      </c>
      <c r="AA306" s="19">
        <v>0</v>
      </c>
      <c r="AB306" s="108">
        <v>6408.4</v>
      </c>
      <c r="AC306" s="19">
        <v>0</v>
      </c>
      <c r="AD306" s="18">
        <f t="shared" si="251"/>
        <v>6664.7</v>
      </c>
      <c r="AE306" s="19">
        <v>0</v>
      </c>
      <c r="AF306" s="19">
        <v>0</v>
      </c>
      <c r="AG306" s="108">
        <v>6664.7</v>
      </c>
      <c r="AH306" s="19">
        <v>0</v>
      </c>
      <c r="AI306" s="18">
        <f t="shared" si="252"/>
        <v>6664.7</v>
      </c>
      <c r="AJ306" s="19">
        <v>0</v>
      </c>
      <c r="AK306" s="19">
        <v>0</v>
      </c>
      <c r="AL306" s="108">
        <v>6664.7</v>
      </c>
      <c r="AM306" s="19">
        <v>0</v>
      </c>
    </row>
    <row r="307" spans="1:39" s="2" customFormat="1" ht="31.5" outlineLevel="3" x14ac:dyDescent="0.25">
      <c r="A307" s="8" t="s">
        <v>206</v>
      </c>
      <c r="B307" s="33" t="s">
        <v>60</v>
      </c>
      <c r="C307" s="26" t="s">
        <v>32</v>
      </c>
      <c r="D307" s="26" t="s">
        <v>118</v>
      </c>
      <c r="E307" s="20">
        <f t="shared" si="248"/>
        <v>66553.600000000006</v>
      </c>
      <c r="F307" s="38">
        <f t="shared" si="249"/>
        <v>0</v>
      </c>
      <c r="G307" s="38">
        <f t="shared" si="253"/>
        <v>0</v>
      </c>
      <c r="H307" s="38">
        <f t="shared" si="254"/>
        <v>66553.600000000006</v>
      </c>
      <c r="I307" s="38">
        <f t="shared" si="243"/>
        <v>0</v>
      </c>
      <c r="J307" s="18">
        <f t="shared" si="244"/>
        <v>10112.1</v>
      </c>
      <c r="K307" s="19">
        <v>0</v>
      </c>
      <c r="L307" s="19">
        <v>0</v>
      </c>
      <c r="M307" s="19">
        <f>10112.1</f>
        <v>10112.1</v>
      </c>
      <c r="N307" s="19">
        <v>0</v>
      </c>
      <c r="O307" s="18">
        <f t="shared" si="245"/>
        <v>10516.6</v>
      </c>
      <c r="P307" s="19">
        <v>0</v>
      </c>
      <c r="Q307" s="19">
        <v>0</v>
      </c>
      <c r="R307" s="19">
        <v>10516.6</v>
      </c>
      <c r="S307" s="19">
        <v>0</v>
      </c>
      <c r="T307" s="18">
        <f t="shared" si="246"/>
        <v>10958.3</v>
      </c>
      <c r="U307" s="19">
        <v>0</v>
      </c>
      <c r="V307" s="19">
        <v>0</v>
      </c>
      <c r="W307" s="108">
        <v>10958.3</v>
      </c>
      <c r="X307" s="19">
        <v>0</v>
      </c>
      <c r="Y307" s="18">
        <f t="shared" si="250"/>
        <v>11352.8</v>
      </c>
      <c r="Z307" s="19">
        <v>0</v>
      </c>
      <c r="AA307" s="19">
        <v>0</v>
      </c>
      <c r="AB307" s="108">
        <v>11352.8</v>
      </c>
      <c r="AC307" s="19">
        <v>0</v>
      </c>
      <c r="AD307" s="18">
        <f t="shared" si="251"/>
        <v>11806.9</v>
      </c>
      <c r="AE307" s="19">
        <v>0</v>
      </c>
      <c r="AF307" s="19">
        <v>0</v>
      </c>
      <c r="AG307" s="108">
        <v>11806.9</v>
      </c>
      <c r="AH307" s="19">
        <v>0</v>
      </c>
      <c r="AI307" s="18">
        <f t="shared" si="252"/>
        <v>11806.9</v>
      </c>
      <c r="AJ307" s="19">
        <v>0</v>
      </c>
      <c r="AK307" s="19">
        <v>0</v>
      </c>
      <c r="AL307" s="108">
        <v>11806.9</v>
      </c>
      <c r="AM307" s="19">
        <v>0</v>
      </c>
    </row>
    <row r="308" spans="1:39" s="2" customFormat="1" ht="31.5" outlineLevel="3" x14ac:dyDescent="0.25">
      <c r="A308" s="8" t="s">
        <v>207</v>
      </c>
      <c r="B308" s="33" t="s">
        <v>61</v>
      </c>
      <c r="C308" s="26" t="s">
        <v>32</v>
      </c>
      <c r="D308" s="26" t="s">
        <v>118</v>
      </c>
      <c r="E308" s="20">
        <f t="shared" si="248"/>
        <v>34652.400000000001</v>
      </c>
      <c r="F308" s="38">
        <f t="shared" si="249"/>
        <v>0</v>
      </c>
      <c r="G308" s="38">
        <f t="shared" si="253"/>
        <v>0</v>
      </c>
      <c r="H308" s="38">
        <f t="shared" si="254"/>
        <v>34652.400000000001</v>
      </c>
      <c r="I308" s="38">
        <f t="shared" si="243"/>
        <v>0</v>
      </c>
      <c r="J308" s="18">
        <f t="shared" si="244"/>
        <v>4019.2999999999997</v>
      </c>
      <c r="K308" s="19">
        <v>0</v>
      </c>
      <c r="L308" s="19">
        <v>0</v>
      </c>
      <c r="M308" s="19">
        <f>3545.6+473.7</f>
        <v>4019.2999999999997</v>
      </c>
      <c r="N308" s="19">
        <v>0</v>
      </c>
      <c r="O308" s="18">
        <f t="shared" si="245"/>
        <v>5707.8</v>
      </c>
      <c r="P308" s="19">
        <v>0</v>
      </c>
      <c r="Q308" s="19">
        <v>0</v>
      </c>
      <c r="R308" s="19">
        <f>3687.4+2020.4</f>
        <v>5707.8</v>
      </c>
      <c r="S308" s="19">
        <v>0</v>
      </c>
      <c r="T308" s="18">
        <f t="shared" si="246"/>
        <v>5947.5</v>
      </c>
      <c r="U308" s="19">
        <v>0</v>
      </c>
      <c r="V308" s="19">
        <v>0</v>
      </c>
      <c r="W308" s="106">
        <v>5947.5</v>
      </c>
      <c r="X308" s="19">
        <v>0</v>
      </c>
      <c r="Y308" s="18">
        <f t="shared" si="250"/>
        <v>6161.6</v>
      </c>
      <c r="Z308" s="19">
        <v>0</v>
      </c>
      <c r="AA308" s="19">
        <v>0</v>
      </c>
      <c r="AB308" s="106">
        <v>6161.6</v>
      </c>
      <c r="AC308" s="19">
        <v>0</v>
      </c>
      <c r="AD308" s="18">
        <f t="shared" si="251"/>
        <v>6408.1</v>
      </c>
      <c r="AE308" s="19">
        <v>0</v>
      </c>
      <c r="AF308" s="19">
        <v>0</v>
      </c>
      <c r="AG308" s="108">
        <v>6408.1</v>
      </c>
      <c r="AH308" s="19">
        <v>0</v>
      </c>
      <c r="AI308" s="18">
        <f t="shared" si="252"/>
        <v>6408.1</v>
      </c>
      <c r="AJ308" s="19">
        <v>0</v>
      </c>
      <c r="AK308" s="19">
        <v>0</v>
      </c>
      <c r="AL308" s="108">
        <v>6408.1</v>
      </c>
      <c r="AM308" s="19">
        <v>0</v>
      </c>
    </row>
    <row r="309" spans="1:39" s="2" customFormat="1" ht="31.5" outlineLevel="3" x14ac:dyDescent="0.25">
      <c r="A309" s="8" t="s">
        <v>208</v>
      </c>
      <c r="B309" s="33" t="s">
        <v>54</v>
      </c>
      <c r="C309" s="26" t="s">
        <v>32</v>
      </c>
      <c r="D309" s="26" t="s">
        <v>118</v>
      </c>
      <c r="E309" s="20">
        <f t="shared" si="248"/>
        <v>57526</v>
      </c>
      <c r="F309" s="38">
        <f t="shared" si="249"/>
        <v>0</v>
      </c>
      <c r="G309" s="38">
        <f t="shared" si="253"/>
        <v>0</v>
      </c>
      <c r="H309" s="38">
        <f t="shared" si="254"/>
        <v>57526</v>
      </c>
      <c r="I309" s="38">
        <f t="shared" si="243"/>
        <v>0</v>
      </c>
      <c r="J309" s="18">
        <f t="shared" si="244"/>
        <v>8384.7999999999993</v>
      </c>
      <c r="K309" s="19">
        <v>0</v>
      </c>
      <c r="L309" s="19">
        <v>0</v>
      </c>
      <c r="M309" s="19">
        <v>8384.7999999999993</v>
      </c>
      <c r="N309" s="19">
        <v>0</v>
      </c>
      <c r="O309" s="18">
        <f t="shared" si="245"/>
        <v>9156.3000000000011</v>
      </c>
      <c r="P309" s="19">
        <v>0</v>
      </c>
      <c r="Q309" s="19">
        <v>0</v>
      </c>
      <c r="R309" s="19">
        <f>8720.2+436.1</f>
        <v>9156.3000000000011</v>
      </c>
      <c r="S309" s="19">
        <v>0</v>
      </c>
      <c r="T309" s="18">
        <f t="shared" si="246"/>
        <v>9540.9</v>
      </c>
      <c r="U309" s="19">
        <v>0</v>
      </c>
      <c r="V309" s="19">
        <v>0</v>
      </c>
      <c r="W309" s="19">
        <v>9540.9</v>
      </c>
      <c r="X309" s="19">
        <v>0</v>
      </c>
      <c r="Y309" s="18">
        <f t="shared" si="250"/>
        <v>9884.4</v>
      </c>
      <c r="Z309" s="19">
        <v>0</v>
      </c>
      <c r="AA309" s="19">
        <v>0</v>
      </c>
      <c r="AB309" s="19">
        <v>9884.4</v>
      </c>
      <c r="AC309" s="19">
        <v>0</v>
      </c>
      <c r="AD309" s="18">
        <f t="shared" si="251"/>
        <v>10279.799999999999</v>
      </c>
      <c r="AE309" s="19">
        <v>0</v>
      </c>
      <c r="AF309" s="19">
        <v>0</v>
      </c>
      <c r="AG309" s="19">
        <v>10279.799999999999</v>
      </c>
      <c r="AH309" s="19">
        <v>0</v>
      </c>
      <c r="AI309" s="18">
        <f t="shared" si="252"/>
        <v>10279.799999999999</v>
      </c>
      <c r="AJ309" s="19">
        <v>0</v>
      </c>
      <c r="AK309" s="19">
        <v>0</v>
      </c>
      <c r="AL309" s="19">
        <v>10279.799999999999</v>
      </c>
      <c r="AM309" s="19">
        <v>0</v>
      </c>
    </row>
    <row r="310" spans="1:39" s="2" customFormat="1" ht="31.5" outlineLevel="3" x14ac:dyDescent="0.25">
      <c r="A310" s="8" t="s">
        <v>209</v>
      </c>
      <c r="B310" s="33" t="s">
        <v>56</v>
      </c>
      <c r="C310" s="26" t="s">
        <v>32</v>
      </c>
      <c r="D310" s="26" t="s">
        <v>118</v>
      </c>
      <c r="E310" s="20">
        <f t="shared" si="248"/>
        <v>24642.1</v>
      </c>
      <c r="F310" s="38">
        <f t="shared" si="249"/>
        <v>0</v>
      </c>
      <c r="G310" s="38">
        <f t="shared" si="253"/>
        <v>0</v>
      </c>
      <c r="H310" s="38">
        <f t="shared" si="254"/>
        <v>24642.1</v>
      </c>
      <c r="I310" s="38">
        <f t="shared" si="243"/>
        <v>0</v>
      </c>
      <c r="J310" s="18">
        <f t="shared" si="244"/>
        <v>3744.1</v>
      </c>
      <c r="K310" s="19">
        <v>0</v>
      </c>
      <c r="L310" s="19">
        <v>0</v>
      </c>
      <c r="M310" s="19">
        <v>3744.1</v>
      </c>
      <c r="N310" s="19">
        <v>0</v>
      </c>
      <c r="O310" s="18">
        <f t="shared" si="245"/>
        <v>3893.9</v>
      </c>
      <c r="P310" s="19">
        <v>0</v>
      </c>
      <c r="Q310" s="19">
        <v>0</v>
      </c>
      <c r="R310" s="19">
        <v>3893.9</v>
      </c>
      <c r="S310" s="19">
        <v>0</v>
      </c>
      <c r="T310" s="18">
        <f t="shared" si="246"/>
        <v>4057.4</v>
      </c>
      <c r="U310" s="19">
        <v>0</v>
      </c>
      <c r="V310" s="19">
        <v>0</v>
      </c>
      <c r="W310" s="106">
        <v>4057.4</v>
      </c>
      <c r="X310" s="19">
        <v>0</v>
      </c>
      <c r="Y310" s="18">
        <f t="shared" si="250"/>
        <v>4203.5</v>
      </c>
      <c r="Z310" s="19">
        <v>0</v>
      </c>
      <c r="AA310" s="19">
        <v>0</v>
      </c>
      <c r="AB310" s="106">
        <v>4203.5</v>
      </c>
      <c r="AC310" s="19">
        <v>0</v>
      </c>
      <c r="AD310" s="18">
        <f t="shared" si="251"/>
        <v>4371.6000000000004</v>
      </c>
      <c r="AE310" s="19">
        <v>0</v>
      </c>
      <c r="AF310" s="19">
        <v>0</v>
      </c>
      <c r="AG310" s="108">
        <v>4371.6000000000004</v>
      </c>
      <c r="AH310" s="19">
        <v>0</v>
      </c>
      <c r="AI310" s="18">
        <f t="shared" si="252"/>
        <v>4371.6000000000004</v>
      </c>
      <c r="AJ310" s="19">
        <v>0</v>
      </c>
      <c r="AK310" s="19">
        <v>0</v>
      </c>
      <c r="AL310" s="108">
        <v>4371.6000000000004</v>
      </c>
      <c r="AM310" s="19">
        <v>0</v>
      </c>
    </row>
    <row r="311" spans="1:39" s="5" customFormat="1" ht="42" customHeight="1" outlineLevel="2" x14ac:dyDescent="0.25">
      <c r="A311" s="138" t="s">
        <v>210</v>
      </c>
      <c r="B311" s="176" t="s">
        <v>530</v>
      </c>
      <c r="C311" s="182"/>
      <c r="D311" s="182"/>
      <c r="E311" s="21">
        <f>SUM(E312:E320)</f>
        <v>41349.4</v>
      </c>
      <c r="F311" s="21">
        <f t="shared" ref="F311:AM311" si="255">SUM(F312:F319)</f>
        <v>0</v>
      </c>
      <c r="G311" s="21">
        <f t="shared" si="255"/>
        <v>0</v>
      </c>
      <c r="H311" s="21">
        <f>SUM(H312:H320)</f>
        <v>41349.4</v>
      </c>
      <c r="I311" s="21">
        <f t="shared" si="255"/>
        <v>0</v>
      </c>
      <c r="J311" s="21">
        <f t="shared" si="255"/>
        <v>19590.099999999999</v>
      </c>
      <c r="K311" s="21">
        <f t="shared" si="255"/>
        <v>0</v>
      </c>
      <c r="L311" s="21">
        <f t="shared" si="255"/>
        <v>0</v>
      </c>
      <c r="M311" s="21">
        <f t="shared" si="255"/>
        <v>19590.099999999999</v>
      </c>
      <c r="N311" s="21">
        <f t="shared" si="255"/>
        <v>0</v>
      </c>
      <c r="O311" s="21">
        <f>SUM(O312:O320)</f>
        <v>4705.8999999999996</v>
      </c>
      <c r="P311" s="21">
        <f t="shared" si="255"/>
        <v>0</v>
      </c>
      <c r="Q311" s="21">
        <f t="shared" si="255"/>
        <v>0</v>
      </c>
      <c r="R311" s="21">
        <f>SUM(R312:R320)</f>
        <v>4705.8999999999996</v>
      </c>
      <c r="S311" s="21">
        <f t="shared" si="255"/>
        <v>0</v>
      </c>
      <c r="T311" s="21">
        <f t="shared" si="255"/>
        <v>17053.400000000001</v>
      </c>
      <c r="U311" s="21">
        <f t="shared" si="255"/>
        <v>0</v>
      </c>
      <c r="V311" s="21">
        <f t="shared" si="255"/>
        <v>0</v>
      </c>
      <c r="W311" s="21">
        <f t="shared" si="255"/>
        <v>17053.400000000001</v>
      </c>
      <c r="X311" s="21">
        <f t="shared" si="255"/>
        <v>0</v>
      </c>
      <c r="Y311" s="21">
        <f t="shared" si="255"/>
        <v>0</v>
      </c>
      <c r="Z311" s="21">
        <f t="shared" si="255"/>
        <v>0</v>
      </c>
      <c r="AA311" s="21">
        <f t="shared" si="255"/>
        <v>0</v>
      </c>
      <c r="AB311" s="21">
        <f t="shared" si="255"/>
        <v>0</v>
      </c>
      <c r="AC311" s="21">
        <f t="shared" si="255"/>
        <v>0</v>
      </c>
      <c r="AD311" s="21">
        <f t="shared" si="255"/>
        <v>0</v>
      </c>
      <c r="AE311" s="21">
        <f t="shared" si="255"/>
        <v>0</v>
      </c>
      <c r="AF311" s="21">
        <f t="shared" si="255"/>
        <v>0</v>
      </c>
      <c r="AG311" s="21">
        <f t="shared" si="255"/>
        <v>0</v>
      </c>
      <c r="AH311" s="21">
        <f t="shared" si="255"/>
        <v>0</v>
      </c>
      <c r="AI311" s="21">
        <f t="shared" si="255"/>
        <v>0</v>
      </c>
      <c r="AJ311" s="21">
        <f t="shared" si="255"/>
        <v>0</v>
      </c>
      <c r="AK311" s="21">
        <f t="shared" si="255"/>
        <v>0</v>
      </c>
      <c r="AL311" s="21">
        <f t="shared" si="255"/>
        <v>0</v>
      </c>
      <c r="AM311" s="21">
        <f t="shared" si="255"/>
        <v>0</v>
      </c>
    </row>
    <row r="312" spans="1:39" s="2" customFormat="1" ht="78.75" outlineLevel="3" x14ac:dyDescent="0.25">
      <c r="A312" s="8" t="s">
        <v>211</v>
      </c>
      <c r="B312" s="32" t="s">
        <v>273</v>
      </c>
      <c r="C312" s="26" t="s">
        <v>377</v>
      </c>
      <c r="D312" s="26" t="s">
        <v>118</v>
      </c>
      <c r="E312" s="20">
        <f t="shared" ref="E312:E320" si="256">SUM(F312:I312)</f>
        <v>14700</v>
      </c>
      <c r="F312" s="38">
        <f t="shared" ref="F312:F320" si="257">K312+P312+U312</f>
        <v>0</v>
      </c>
      <c r="G312" s="38">
        <f>L312+Q312+V312+AA312+AF312+AK312</f>
        <v>0</v>
      </c>
      <c r="H312" s="38">
        <f>M312+R312+W312+AB312+AG312+AL312</f>
        <v>14700</v>
      </c>
      <c r="I312" s="38">
        <f t="shared" ref="I312:I319" si="258">N312+S312+X312+AC312+AH312+AM312</f>
        <v>0</v>
      </c>
      <c r="J312" s="18">
        <f t="shared" ref="J312:J319" si="259">SUM(K312:N312)</f>
        <v>14700</v>
      </c>
      <c r="K312" s="19">
        <v>0</v>
      </c>
      <c r="L312" s="19">
        <v>0</v>
      </c>
      <c r="M312" s="19">
        <v>14700</v>
      </c>
      <c r="N312" s="19">
        <v>0</v>
      </c>
      <c r="O312" s="18">
        <f t="shared" ref="O312:O320" si="260">SUM(P312:S312)</f>
        <v>0</v>
      </c>
      <c r="P312" s="19">
        <v>0</v>
      </c>
      <c r="Q312" s="19">
        <v>0</v>
      </c>
      <c r="R312" s="19">
        <v>0</v>
      </c>
      <c r="S312" s="19">
        <v>0</v>
      </c>
      <c r="T312" s="18">
        <f t="shared" ref="T312:T319" si="261">SUM(U312:X312)</f>
        <v>0</v>
      </c>
      <c r="U312" s="19">
        <v>0</v>
      </c>
      <c r="V312" s="19">
        <v>0</v>
      </c>
      <c r="W312" s="19">
        <v>0</v>
      </c>
      <c r="X312" s="19">
        <v>0</v>
      </c>
      <c r="Y312" s="18">
        <f t="shared" ref="Y312:Y319" si="262">SUM(Z312:AC312)</f>
        <v>0</v>
      </c>
      <c r="Z312" s="19">
        <v>0</v>
      </c>
      <c r="AA312" s="19">
        <v>0</v>
      </c>
      <c r="AB312" s="19">
        <v>0</v>
      </c>
      <c r="AC312" s="19">
        <v>0</v>
      </c>
      <c r="AD312" s="18">
        <f t="shared" ref="AD312:AD319" si="263">SUM(AE312:AH312)</f>
        <v>0</v>
      </c>
      <c r="AE312" s="19">
        <v>0</v>
      </c>
      <c r="AF312" s="19">
        <v>0</v>
      </c>
      <c r="AG312" s="19">
        <v>0</v>
      </c>
      <c r="AH312" s="19">
        <v>0</v>
      </c>
      <c r="AI312" s="18">
        <f t="shared" ref="AI312:AI319" si="264">SUM(AJ312:AM312)</f>
        <v>0</v>
      </c>
      <c r="AJ312" s="19">
        <v>0</v>
      </c>
      <c r="AK312" s="19">
        <v>0</v>
      </c>
      <c r="AL312" s="19">
        <v>0</v>
      </c>
      <c r="AM312" s="19">
        <v>0</v>
      </c>
    </row>
    <row r="313" spans="1:39" s="2" customFormat="1" ht="47.25" outlineLevel="3" x14ac:dyDescent="0.25">
      <c r="A313" s="8" t="s">
        <v>212</v>
      </c>
      <c r="B313" s="32" t="s">
        <v>753</v>
      </c>
      <c r="C313" s="26" t="s">
        <v>32</v>
      </c>
      <c r="D313" s="26" t="s">
        <v>118</v>
      </c>
      <c r="E313" s="20">
        <f t="shared" si="256"/>
        <v>7352.5</v>
      </c>
      <c r="F313" s="38">
        <f t="shared" si="257"/>
        <v>0</v>
      </c>
      <c r="G313" s="38">
        <f t="shared" ref="G313:G319" si="265">L313+Q313+V313+AA313+AF313+AK313</f>
        <v>0</v>
      </c>
      <c r="H313" s="38">
        <f t="shared" ref="H313:H320" si="266">M313+R313+W313+AB313+AG313+AL313</f>
        <v>7352.5</v>
      </c>
      <c r="I313" s="38">
        <f t="shared" si="258"/>
        <v>0</v>
      </c>
      <c r="J313" s="18">
        <f t="shared" si="259"/>
        <v>0</v>
      </c>
      <c r="K313" s="19">
        <v>0</v>
      </c>
      <c r="L313" s="19">
        <v>0</v>
      </c>
      <c r="M313" s="19">
        <v>0</v>
      </c>
      <c r="N313" s="19">
        <v>0</v>
      </c>
      <c r="O313" s="18">
        <f t="shared" si="260"/>
        <v>0</v>
      </c>
      <c r="P313" s="19">
        <v>0</v>
      </c>
      <c r="Q313" s="19">
        <v>0</v>
      </c>
      <c r="R313" s="19">
        <f>7352.5-7352.5</f>
        <v>0</v>
      </c>
      <c r="S313" s="19">
        <v>0</v>
      </c>
      <c r="T313" s="18">
        <f t="shared" si="261"/>
        <v>7352.5</v>
      </c>
      <c r="U313" s="19">
        <v>0</v>
      </c>
      <c r="V313" s="19">
        <v>0</v>
      </c>
      <c r="W313" s="19">
        <v>7352.5</v>
      </c>
      <c r="X313" s="19">
        <v>0</v>
      </c>
      <c r="Y313" s="18">
        <f t="shared" si="262"/>
        <v>0</v>
      </c>
      <c r="Z313" s="19">
        <v>0</v>
      </c>
      <c r="AA313" s="19">
        <v>0</v>
      </c>
      <c r="AB313" s="19">
        <v>0</v>
      </c>
      <c r="AC313" s="19">
        <v>0</v>
      </c>
      <c r="AD313" s="18">
        <f t="shared" si="263"/>
        <v>0</v>
      </c>
      <c r="AE313" s="19">
        <v>0</v>
      </c>
      <c r="AF313" s="19">
        <v>0</v>
      </c>
      <c r="AG313" s="19">
        <v>0</v>
      </c>
      <c r="AH313" s="19">
        <v>0</v>
      </c>
      <c r="AI313" s="18">
        <f t="shared" si="264"/>
        <v>0</v>
      </c>
      <c r="AJ313" s="19">
        <v>0</v>
      </c>
      <c r="AK313" s="19">
        <v>0</v>
      </c>
      <c r="AL313" s="19">
        <v>0</v>
      </c>
      <c r="AM313" s="19">
        <v>0</v>
      </c>
    </row>
    <row r="314" spans="1:39" s="2" customFormat="1" ht="31.5" outlineLevel="3" x14ac:dyDescent="0.25">
      <c r="A314" s="8" t="s">
        <v>213</v>
      </c>
      <c r="B314" s="32" t="s">
        <v>111</v>
      </c>
      <c r="C314" s="26" t="s">
        <v>32</v>
      </c>
      <c r="D314" s="26" t="s">
        <v>118</v>
      </c>
      <c r="E314" s="20">
        <f t="shared" si="256"/>
        <v>2200</v>
      </c>
      <c r="F314" s="38">
        <f t="shared" si="257"/>
        <v>0</v>
      </c>
      <c r="G314" s="38">
        <f t="shared" si="265"/>
        <v>0</v>
      </c>
      <c r="H314" s="38">
        <f t="shared" si="266"/>
        <v>2200</v>
      </c>
      <c r="I314" s="38">
        <f t="shared" si="258"/>
        <v>0</v>
      </c>
      <c r="J314" s="18">
        <f t="shared" si="259"/>
        <v>1100</v>
      </c>
      <c r="K314" s="19">
        <v>0</v>
      </c>
      <c r="L314" s="19">
        <v>0</v>
      </c>
      <c r="M314" s="19">
        <v>1100</v>
      </c>
      <c r="N314" s="19">
        <v>0</v>
      </c>
      <c r="O314" s="18">
        <f t="shared" si="260"/>
        <v>1100</v>
      </c>
      <c r="P314" s="19">
        <v>0</v>
      </c>
      <c r="Q314" s="19">
        <v>0</v>
      </c>
      <c r="R314" s="19">
        <v>1100</v>
      </c>
      <c r="S314" s="19">
        <v>0</v>
      </c>
      <c r="T314" s="18">
        <f t="shared" si="261"/>
        <v>0</v>
      </c>
      <c r="U314" s="19">
        <v>0</v>
      </c>
      <c r="V314" s="19">
        <v>0</v>
      </c>
      <c r="W314" s="19">
        <v>0</v>
      </c>
      <c r="X314" s="19">
        <v>0</v>
      </c>
      <c r="Y314" s="18">
        <f t="shared" si="262"/>
        <v>0</v>
      </c>
      <c r="Z314" s="19">
        <v>0</v>
      </c>
      <c r="AA314" s="19">
        <v>0</v>
      </c>
      <c r="AB314" s="19">
        <v>0</v>
      </c>
      <c r="AC314" s="19">
        <v>0</v>
      </c>
      <c r="AD314" s="18">
        <f t="shared" si="263"/>
        <v>0</v>
      </c>
      <c r="AE314" s="19">
        <v>0</v>
      </c>
      <c r="AF314" s="19">
        <v>0</v>
      </c>
      <c r="AG314" s="19">
        <v>0</v>
      </c>
      <c r="AH314" s="19">
        <v>0</v>
      </c>
      <c r="AI314" s="18">
        <f t="shared" si="264"/>
        <v>0</v>
      </c>
      <c r="AJ314" s="19">
        <v>0</v>
      </c>
      <c r="AK314" s="19">
        <v>0</v>
      </c>
      <c r="AL314" s="19">
        <v>0</v>
      </c>
      <c r="AM314" s="19">
        <v>0</v>
      </c>
    </row>
    <row r="315" spans="1:39" s="2" customFormat="1" ht="31.5" outlineLevel="3" x14ac:dyDescent="0.25">
      <c r="A315" s="8" t="s">
        <v>214</v>
      </c>
      <c r="B315" s="32" t="s">
        <v>586</v>
      </c>
      <c r="C315" s="26" t="s">
        <v>32</v>
      </c>
      <c r="D315" s="26" t="s">
        <v>118</v>
      </c>
      <c r="E315" s="20">
        <f>SUM(F315:I315)</f>
        <v>844.7</v>
      </c>
      <c r="F315" s="38">
        <f t="shared" si="257"/>
        <v>0</v>
      </c>
      <c r="G315" s="38">
        <f t="shared" ref="G315:I318" si="267">L315+Q315+V315+AA315+AF315+AK315</f>
        <v>0</v>
      </c>
      <c r="H315" s="38">
        <f t="shared" si="267"/>
        <v>844.7</v>
      </c>
      <c r="I315" s="38">
        <f t="shared" si="267"/>
        <v>0</v>
      </c>
      <c r="J315" s="18">
        <f>SUM(K315:N315)</f>
        <v>0</v>
      </c>
      <c r="K315" s="19">
        <v>0</v>
      </c>
      <c r="L315" s="19">
        <v>0</v>
      </c>
      <c r="M315" s="19">
        <v>0</v>
      </c>
      <c r="N315" s="19">
        <v>0</v>
      </c>
      <c r="O315" s="18">
        <f>SUM(P315:S315)</f>
        <v>844.7</v>
      </c>
      <c r="P315" s="19">
        <v>0</v>
      </c>
      <c r="Q315" s="19">
        <v>0</v>
      </c>
      <c r="R315" s="19">
        <v>844.7</v>
      </c>
      <c r="S315" s="19">
        <v>0</v>
      </c>
      <c r="T315" s="18">
        <f>SUM(U315:X315)</f>
        <v>0</v>
      </c>
      <c r="U315" s="19">
        <v>0</v>
      </c>
      <c r="V315" s="19">
        <v>0</v>
      </c>
      <c r="W315" s="19">
        <v>0</v>
      </c>
      <c r="X315" s="19">
        <v>0</v>
      </c>
      <c r="Y315" s="18">
        <f>SUM(Z315:AC315)</f>
        <v>0</v>
      </c>
      <c r="Z315" s="19">
        <v>0</v>
      </c>
      <c r="AA315" s="19">
        <v>0</v>
      </c>
      <c r="AB315" s="19">
        <v>0</v>
      </c>
      <c r="AC315" s="19">
        <v>0</v>
      </c>
      <c r="AD315" s="18">
        <f>SUM(AE315:AH315)</f>
        <v>0</v>
      </c>
      <c r="AE315" s="19">
        <v>0</v>
      </c>
      <c r="AF315" s="19">
        <v>0</v>
      </c>
      <c r="AG315" s="19">
        <v>0</v>
      </c>
      <c r="AH315" s="19">
        <v>0</v>
      </c>
      <c r="AI315" s="18">
        <f>SUM(AJ315:AM315)</f>
        <v>0</v>
      </c>
      <c r="AJ315" s="19">
        <v>0</v>
      </c>
      <c r="AK315" s="19">
        <v>0</v>
      </c>
      <c r="AL315" s="19">
        <v>0</v>
      </c>
      <c r="AM315" s="19">
        <v>0</v>
      </c>
    </row>
    <row r="316" spans="1:39" s="2" customFormat="1" ht="78.75" outlineLevel="3" x14ac:dyDescent="0.25">
      <c r="A316" s="8" t="s">
        <v>497</v>
      </c>
      <c r="B316" s="32" t="s">
        <v>112</v>
      </c>
      <c r="C316" s="26" t="s">
        <v>377</v>
      </c>
      <c r="D316" s="26" t="s">
        <v>118</v>
      </c>
      <c r="E316" s="20">
        <f>SUM(F316:I316)</f>
        <v>3790.1</v>
      </c>
      <c r="F316" s="38">
        <f t="shared" si="257"/>
        <v>0</v>
      </c>
      <c r="G316" s="38">
        <f t="shared" si="267"/>
        <v>0</v>
      </c>
      <c r="H316" s="38">
        <f t="shared" si="267"/>
        <v>3790.1</v>
      </c>
      <c r="I316" s="38">
        <f t="shared" si="267"/>
        <v>0</v>
      </c>
      <c r="J316" s="18">
        <f>SUM(K316:N316)</f>
        <v>3790.1</v>
      </c>
      <c r="K316" s="19">
        <v>0</v>
      </c>
      <c r="L316" s="19">
        <v>0</v>
      </c>
      <c r="M316" s="19">
        <f>3987.9-378.8+181</f>
        <v>3790.1</v>
      </c>
      <c r="N316" s="19">
        <v>0</v>
      </c>
      <c r="O316" s="18">
        <f>SUM(P316:S316)</f>
        <v>0</v>
      </c>
      <c r="P316" s="19">
        <v>0</v>
      </c>
      <c r="Q316" s="19">
        <v>0</v>
      </c>
      <c r="R316" s="19">
        <v>0</v>
      </c>
      <c r="S316" s="19">
        <v>0</v>
      </c>
      <c r="T316" s="18">
        <f>SUM(U316:X316)</f>
        <v>0</v>
      </c>
      <c r="U316" s="19">
        <v>0</v>
      </c>
      <c r="V316" s="19">
        <v>0</v>
      </c>
      <c r="W316" s="19">
        <v>0</v>
      </c>
      <c r="X316" s="19">
        <v>0</v>
      </c>
      <c r="Y316" s="18">
        <f>SUM(Z316:AC316)</f>
        <v>0</v>
      </c>
      <c r="Z316" s="19">
        <v>0</v>
      </c>
      <c r="AA316" s="19">
        <v>0</v>
      </c>
      <c r="AB316" s="19">
        <v>0</v>
      </c>
      <c r="AC316" s="19">
        <v>0</v>
      </c>
      <c r="AD316" s="18">
        <f>SUM(AE316:AH316)</f>
        <v>0</v>
      </c>
      <c r="AE316" s="19">
        <v>0</v>
      </c>
      <c r="AF316" s="19">
        <v>0</v>
      </c>
      <c r="AG316" s="19">
        <v>0</v>
      </c>
      <c r="AH316" s="19">
        <v>0</v>
      </c>
      <c r="AI316" s="18">
        <f>SUM(AJ316:AM316)</f>
        <v>0</v>
      </c>
      <c r="AJ316" s="19">
        <v>0</v>
      </c>
      <c r="AK316" s="19">
        <v>0</v>
      </c>
      <c r="AL316" s="19">
        <v>0</v>
      </c>
      <c r="AM316" s="19">
        <v>0</v>
      </c>
    </row>
    <row r="317" spans="1:39" s="2" customFormat="1" ht="47.25" outlineLevel="3" x14ac:dyDescent="0.25">
      <c r="A317" s="8" t="s">
        <v>504</v>
      </c>
      <c r="B317" s="32" t="s">
        <v>527</v>
      </c>
      <c r="C317" s="26" t="s">
        <v>32</v>
      </c>
      <c r="D317" s="26" t="s">
        <v>8</v>
      </c>
      <c r="E317" s="20">
        <f>SUM(F317:I317)</f>
        <v>1000.5</v>
      </c>
      <c r="F317" s="38">
        <f t="shared" si="257"/>
        <v>0</v>
      </c>
      <c r="G317" s="38">
        <f t="shared" si="267"/>
        <v>0</v>
      </c>
      <c r="H317" s="38">
        <f t="shared" si="267"/>
        <v>1000.5</v>
      </c>
      <c r="I317" s="38">
        <f t="shared" si="267"/>
        <v>0</v>
      </c>
      <c r="J317" s="18">
        <f>SUM(K317:N317)</f>
        <v>0</v>
      </c>
      <c r="K317" s="19">
        <v>0</v>
      </c>
      <c r="L317" s="19">
        <v>0</v>
      </c>
      <c r="M317" s="19">
        <v>0</v>
      </c>
      <c r="N317" s="19">
        <v>0</v>
      </c>
      <c r="O317" s="18">
        <f>SUM(P317:S317)</f>
        <v>1000.5</v>
      </c>
      <c r="P317" s="19">
        <v>0</v>
      </c>
      <c r="Q317" s="19">
        <v>0</v>
      </c>
      <c r="R317" s="19">
        <v>1000.5</v>
      </c>
      <c r="S317" s="19">
        <v>0</v>
      </c>
      <c r="T317" s="18">
        <f>SUM(U317:X317)</f>
        <v>0</v>
      </c>
      <c r="U317" s="19">
        <v>0</v>
      </c>
      <c r="V317" s="19">
        <v>0</v>
      </c>
      <c r="W317" s="19">
        <v>0</v>
      </c>
      <c r="X317" s="19">
        <v>0</v>
      </c>
      <c r="Y317" s="18">
        <f>SUM(Z317:AC317)</f>
        <v>0</v>
      </c>
      <c r="Z317" s="19">
        <v>0</v>
      </c>
      <c r="AA317" s="19">
        <v>0</v>
      </c>
      <c r="AB317" s="19">
        <v>0</v>
      </c>
      <c r="AC317" s="19">
        <v>0</v>
      </c>
      <c r="AD317" s="18">
        <f>SUM(AE317:AH317)</f>
        <v>0</v>
      </c>
      <c r="AE317" s="19">
        <v>0</v>
      </c>
      <c r="AF317" s="19">
        <v>0</v>
      </c>
      <c r="AG317" s="19">
        <v>0</v>
      </c>
      <c r="AH317" s="19">
        <v>0</v>
      </c>
      <c r="AI317" s="18">
        <f>SUM(AJ317:AM317)</f>
        <v>0</v>
      </c>
      <c r="AJ317" s="19">
        <v>0</v>
      </c>
      <c r="AK317" s="19">
        <v>0</v>
      </c>
      <c r="AL317" s="19">
        <v>0</v>
      </c>
      <c r="AM317" s="19">
        <v>0</v>
      </c>
    </row>
    <row r="318" spans="1:39" s="2" customFormat="1" ht="31.5" outlineLevel="3" x14ac:dyDescent="0.25">
      <c r="A318" s="8" t="s">
        <v>526</v>
      </c>
      <c r="B318" s="32" t="s">
        <v>498</v>
      </c>
      <c r="C318" s="26" t="s">
        <v>32</v>
      </c>
      <c r="D318" s="26" t="s">
        <v>118</v>
      </c>
      <c r="E318" s="20">
        <f>SUM(F318:I318)</f>
        <v>1148.2</v>
      </c>
      <c r="F318" s="38">
        <f t="shared" si="257"/>
        <v>0</v>
      </c>
      <c r="G318" s="38">
        <f t="shared" si="267"/>
        <v>0</v>
      </c>
      <c r="H318" s="38">
        <f t="shared" si="267"/>
        <v>1148.2</v>
      </c>
      <c r="I318" s="38">
        <f t="shared" si="267"/>
        <v>0</v>
      </c>
      <c r="J318" s="18">
        <f>SUM(K318:N318)</f>
        <v>0</v>
      </c>
      <c r="K318" s="19">
        <v>0</v>
      </c>
      <c r="L318" s="19">
        <v>0</v>
      </c>
      <c r="M318" s="19">
        <v>0</v>
      </c>
      <c r="N318" s="19">
        <v>0</v>
      </c>
      <c r="O318" s="18">
        <f>SUM(P318:S318)</f>
        <v>1148.2</v>
      </c>
      <c r="P318" s="19">
        <v>0</v>
      </c>
      <c r="Q318" s="19">
        <v>0</v>
      </c>
      <c r="R318" s="19">
        <v>1148.2</v>
      </c>
      <c r="S318" s="19">
        <v>0</v>
      </c>
      <c r="T318" s="18">
        <f>SUM(U318:X318)</f>
        <v>0</v>
      </c>
      <c r="U318" s="19">
        <v>0</v>
      </c>
      <c r="V318" s="19">
        <v>0</v>
      </c>
      <c r="W318" s="19">
        <v>0</v>
      </c>
      <c r="X318" s="19">
        <v>0</v>
      </c>
      <c r="Y318" s="18">
        <f>SUM(Z318:AC318)</f>
        <v>0</v>
      </c>
      <c r="Z318" s="19">
        <v>0</v>
      </c>
      <c r="AA318" s="19">
        <v>0</v>
      </c>
      <c r="AB318" s="19">
        <v>0</v>
      </c>
      <c r="AC318" s="19">
        <v>0</v>
      </c>
      <c r="AD318" s="18">
        <f>SUM(AE318:AH318)</f>
        <v>0</v>
      </c>
      <c r="AE318" s="19">
        <v>0</v>
      </c>
      <c r="AF318" s="19">
        <v>0</v>
      </c>
      <c r="AG318" s="19">
        <v>0</v>
      </c>
      <c r="AH318" s="19">
        <v>0</v>
      </c>
      <c r="AI318" s="18">
        <f>SUM(AJ318:AM318)</f>
        <v>0</v>
      </c>
      <c r="AJ318" s="19">
        <v>0</v>
      </c>
      <c r="AK318" s="19">
        <v>0</v>
      </c>
      <c r="AL318" s="19">
        <v>0</v>
      </c>
      <c r="AM318" s="19">
        <v>0</v>
      </c>
    </row>
    <row r="319" spans="1:39" s="2" customFormat="1" ht="78.75" outlineLevel="3" x14ac:dyDescent="0.25">
      <c r="A319" s="8" t="s">
        <v>573</v>
      </c>
      <c r="B319" s="32" t="s">
        <v>505</v>
      </c>
      <c r="C319" s="195" t="s">
        <v>32</v>
      </c>
      <c r="D319" s="195" t="s">
        <v>8</v>
      </c>
      <c r="E319" s="20">
        <f t="shared" si="256"/>
        <v>9710.9</v>
      </c>
      <c r="F319" s="38">
        <f t="shared" si="257"/>
        <v>0</v>
      </c>
      <c r="G319" s="38">
        <f t="shared" si="265"/>
        <v>0</v>
      </c>
      <c r="H319" s="38">
        <f>M319+R319+W319+AB319+AG319+AL319</f>
        <v>9710.9</v>
      </c>
      <c r="I319" s="38">
        <f t="shared" si="258"/>
        <v>0</v>
      </c>
      <c r="J319" s="18">
        <f t="shared" si="259"/>
        <v>0</v>
      </c>
      <c r="K319" s="19">
        <v>0</v>
      </c>
      <c r="L319" s="19">
        <v>0</v>
      </c>
      <c r="M319" s="19">
        <v>0</v>
      </c>
      <c r="N319" s="19">
        <v>0</v>
      </c>
      <c r="O319" s="18">
        <f t="shared" si="260"/>
        <v>10</v>
      </c>
      <c r="P319" s="19">
        <v>0</v>
      </c>
      <c r="Q319" s="19">
        <v>0</v>
      </c>
      <c r="R319" s="19">
        <f>5665.3-602.5-5052.8</f>
        <v>10</v>
      </c>
      <c r="S319" s="19">
        <v>0</v>
      </c>
      <c r="T319" s="18">
        <f t="shared" si="261"/>
        <v>9700.9</v>
      </c>
      <c r="U319" s="19">
        <v>0</v>
      </c>
      <c r="V319" s="19">
        <v>0</v>
      </c>
      <c r="W319" s="19">
        <f>6306.7+3060.3+333.9</f>
        <v>9700.9</v>
      </c>
      <c r="X319" s="19">
        <v>0</v>
      </c>
      <c r="Y319" s="18">
        <f t="shared" si="262"/>
        <v>0</v>
      </c>
      <c r="Z319" s="19">
        <v>0</v>
      </c>
      <c r="AA319" s="19">
        <v>0</v>
      </c>
      <c r="AB319" s="19">
        <v>0</v>
      </c>
      <c r="AC319" s="19">
        <v>0</v>
      </c>
      <c r="AD319" s="18">
        <f t="shared" si="263"/>
        <v>0</v>
      </c>
      <c r="AE319" s="19">
        <v>0</v>
      </c>
      <c r="AF319" s="19">
        <v>0</v>
      </c>
      <c r="AG319" s="19">
        <v>0</v>
      </c>
      <c r="AH319" s="19">
        <v>0</v>
      </c>
      <c r="AI319" s="18">
        <f t="shared" si="264"/>
        <v>0</v>
      </c>
      <c r="AJ319" s="19">
        <v>0</v>
      </c>
      <c r="AK319" s="19">
        <v>0</v>
      </c>
      <c r="AL319" s="19">
        <v>0</v>
      </c>
      <c r="AM319" s="19">
        <v>0</v>
      </c>
    </row>
    <row r="320" spans="1:39" s="2" customFormat="1" ht="31.5" outlineLevel="3" x14ac:dyDescent="0.25">
      <c r="A320" s="8" t="s">
        <v>721</v>
      </c>
      <c r="B320" s="32" t="s">
        <v>722</v>
      </c>
      <c r="C320" s="196"/>
      <c r="D320" s="196"/>
      <c r="E320" s="20">
        <f t="shared" si="256"/>
        <v>602.5</v>
      </c>
      <c r="F320" s="38">
        <f t="shared" si="257"/>
        <v>0</v>
      </c>
      <c r="G320" s="38">
        <f>L320+Q320+V320+AA320+AF320+AK320</f>
        <v>0</v>
      </c>
      <c r="H320" s="38">
        <f t="shared" si="266"/>
        <v>602.5</v>
      </c>
      <c r="I320" s="38">
        <v>0</v>
      </c>
      <c r="J320" s="18">
        <v>0</v>
      </c>
      <c r="K320" s="19">
        <v>0</v>
      </c>
      <c r="L320" s="19">
        <v>0</v>
      </c>
      <c r="M320" s="19">
        <v>0</v>
      </c>
      <c r="N320" s="19">
        <v>0</v>
      </c>
      <c r="O320" s="18">
        <f t="shared" si="260"/>
        <v>602.5</v>
      </c>
      <c r="P320" s="19">
        <v>0</v>
      </c>
      <c r="Q320" s="19">
        <v>0</v>
      </c>
      <c r="R320" s="19">
        <v>602.5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</row>
    <row r="321" spans="1:39" s="5" customFormat="1" ht="32.25" customHeight="1" outlineLevel="1" x14ac:dyDescent="0.25">
      <c r="A321" s="138" t="s">
        <v>215</v>
      </c>
      <c r="B321" s="173" t="s">
        <v>265</v>
      </c>
      <c r="C321" s="174"/>
      <c r="D321" s="174"/>
      <c r="E321" s="18">
        <f>E322+E342+E361+E367</f>
        <v>305283.90000000002</v>
      </c>
      <c r="F321" s="18">
        <f t="shared" ref="F321:AM321" si="268">F322+F342+F361+F367</f>
        <v>0</v>
      </c>
      <c r="G321" s="18">
        <f t="shared" si="268"/>
        <v>0</v>
      </c>
      <c r="H321" s="18">
        <f t="shared" si="268"/>
        <v>305283.90000000002</v>
      </c>
      <c r="I321" s="18">
        <f t="shared" si="268"/>
        <v>0</v>
      </c>
      <c r="J321" s="18">
        <f t="shared" si="268"/>
        <v>43508.700000000004</v>
      </c>
      <c r="K321" s="18">
        <f t="shared" si="268"/>
        <v>0</v>
      </c>
      <c r="L321" s="18">
        <f t="shared" si="268"/>
        <v>0</v>
      </c>
      <c r="M321" s="18">
        <f t="shared" si="268"/>
        <v>43508.700000000004</v>
      </c>
      <c r="N321" s="18">
        <f t="shared" si="268"/>
        <v>0</v>
      </c>
      <c r="O321" s="18">
        <f t="shared" si="268"/>
        <v>51676.499999999985</v>
      </c>
      <c r="P321" s="18">
        <f t="shared" si="268"/>
        <v>0</v>
      </c>
      <c r="Q321" s="18">
        <f t="shared" si="268"/>
        <v>0</v>
      </c>
      <c r="R321" s="18">
        <f t="shared" si="268"/>
        <v>51676.499999999985</v>
      </c>
      <c r="S321" s="18">
        <f t="shared" si="268"/>
        <v>0</v>
      </c>
      <c r="T321" s="18">
        <f t="shared" si="268"/>
        <v>55444.299999999996</v>
      </c>
      <c r="U321" s="18">
        <f t="shared" si="268"/>
        <v>0</v>
      </c>
      <c r="V321" s="18">
        <f t="shared" si="268"/>
        <v>0</v>
      </c>
      <c r="W321" s="18">
        <f t="shared" si="268"/>
        <v>55444.299999999996</v>
      </c>
      <c r="X321" s="18">
        <f t="shared" si="268"/>
        <v>0</v>
      </c>
      <c r="Y321" s="18">
        <f t="shared" si="268"/>
        <v>50446.600000000006</v>
      </c>
      <c r="Z321" s="18">
        <f t="shared" si="268"/>
        <v>0</v>
      </c>
      <c r="AA321" s="18">
        <f t="shared" si="268"/>
        <v>0</v>
      </c>
      <c r="AB321" s="18">
        <f t="shared" si="268"/>
        <v>50446.600000000006</v>
      </c>
      <c r="AC321" s="18">
        <f t="shared" si="268"/>
        <v>0</v>
      </c>
      <c r="AD321" s="18">
        <f t="shared" si="268"/>
        <v>52103.900000000009</v>
      </c>
      <c r="AE321" s="18">
        <f t="shared" si="268"/>
        <v>0</v>
      </c>
      <c r="AF321" s="18">
        <f t="shared" si="268"/>
        <v>0</v>
      </c>
      <c r="AG321" s="18">
        <f t="shared" si="268"/>
        <v>52103.900000000009</v>
      </c>
      <c r="AH321" s="18">
        <f t="shared" si="268"/>
        <v>0</v>
      </c>
      <c r="AI321" s="18">
        <f t="shared" si="268"/>
        <v>52103.900000000009</v>
      </c>
      <c r="AJ321" s="18">
        <f t="shared" si="268"/>
        <v>0</v>
      </c>
      <c r="AK321" s="18">
        <f t="shared" si="268"/>
        <v>0</v>
      </c>
      <c r="AL321" s="18">
        <f t="shared" si="268"/>
        <v>52103.900000000009</v>
      </c>
      <c r="AM321" s="18">
        <f t="shared" si="268"/>
        <v>0</v>
      </c>
    </row>
    <row r="322" spans="1:39" s="5" customFormat="1" ht="33" customHeight="1" outlineLevel="2" x14ac:dyDescent="0.25">
      <c r="A322" s="138" t="s">
        <v>216</v>
      </c>
      <c r="B322" s="176" t="s">
        <v>264</v>
      </c>
      <c r="C322" s="182"/>
      <c r="D322" s="182"/>
      <c r="E322" s="21">
        <f>SUM(E323:E341)</f>
        <v>70418.5</v>
      </c>
      <c r="F322" s="21">
        <f t="shared" ref="F322:AM322" si="269">SUM(F323:F341)</f>
        <v>0</v>
      </c>
      <c r="G322" s="21">
        <f t="shared" si="269"/>
        <v>0</v>
      </c>
      <c r="H322" s="21">
        <f t="shared" si="269"/>
        <v>70418.5</v>
      </c>
      <c r="I322" s="21">
        <f t="shared" si="269"/>
        <v>0</v>
      </c>
      <c r="J322" s="21">
        <f t="shared" si="269"/>
        <v>12186.499999999998</v>
      </c>
      <c r="K322" s="21">
        <f t="shared" si="269"/>
        <v>0</v>
      </c>
      <c r="L322" s="21">
        <f t="shared" si="269"/>
        <v>0</v>
      </c>
      <c r="M322" s="21">
        <f t="shared" si="269"/>
        <v>12186.499999999998</v>
      </c>
      <c r="N322" s="21">
        <f t="shared" si="269"/>
        <v>0</v>
      </c>
      <c r="O322" s="21">
        <f t="shared" si="269"/>
        <v>14634.399999999996</v>
      </c>
      <c r="P322" s="21">
        <f t="shared" si="269"/>
        <v>0</v>
      </c>
      <c r="Q322" s="21">
        <f t="shared" si="269"/>
        <v>0</v>
      </c>
      <c r="R322" s="21">
        <f t="shared" si="269"/>
        <v>14634.399999999996</v>
      </c>
      <c r="S322" s="21">
        <f t="shared" si="269"/>
        <v>0</v>
      </c>
      <c r="T322" s="21">
        <f t="shared" si="269"/>
        <v>13649.900000000003</v>
      </c>
      <c r="U322" s="21">
        <f t="shared" si="269"/>
        <v>0</v>
      </c>
      <c r="V322" s="21">
        <f t="shared" si="269"/>
        <v>0</v>
      </c>
      <c r="W322" s="21">
        <f t="shared" si="269"/>
        <v>13649.900000000003</v>
      </c>
      <c r="X322" s="21">
        <f t="shared" si="269"/>
        <v>0</v>
      </c>
      <c r="Y322" s="21">
        <f t="shared" si="269"/>
        <v>9957.1</v>
      </c>
      <c r="Z322" s="21">
        <f t="shared" si="269"/>
        <v>0</v>
      </c>
      <c r="AA322" s="21">
        <f t="shared" si="269"/>
        <v>0</v>
      </c>
      <c r="AB322" s="21">
        <f t="shared" si="269"/>
        <v>9957.1</v>
      </c>
      <c r="AC322" s="21">
        <f t="shared" si="269"/>
        <v>0</v>
      </c>
      <c r="AD322" s="21">
        <f t="shared" si="269"/>
        <v>9995.3000000000011</v>
      </c>
      <c r="AE322" s="21">
        <f t="shared" si="269"/>
        <v>0</v>
      </c>
      <c r="AF322" s="21">
        <f t="shared" si="269"/>
        <v>0</v>
      </c>
      <c r="AG322" s="21">
        <f t="shared" si="269"/>
        <v>9995.3000000000011</v>
      </c>
      <c r="AH322" s="21">
        <f t="shared" si="269"/>
        <v>0</v>
      </c>
      <c r="AI322" s="21">
        <f t="shared" si="269"/>
        <v>9995.3000000000011</v>
      </c>
      <c r="AJ322" s="21">
        <f t="shared" si="269"/>
        <v>0</v>
      </c>
      <c r="AK322" s="21">
        <f t="shared" si="269"/>
        <v>0</v>
      </c>
      <c r="AL322" s="21">
        <f t="shared" si="269"/>
        <v>9995.3000000000011</v>
      </c>
      <c r="AM322" s="21">
        <f t="shared" si="269"/>
        <v>0</v>
      </c>
    </row>
    <row r="323" spans="1:39" s="2" customFormat="1" ht="78.75" outlineLevel="3" x14ac:dyDescent="0.25">
      <c r="A323" s="8" t="s">
        <v>217</v>
      </c>
      <c r="B323" s="33" t="s">
        <v>66</v>
      </c>
      <c r="C323" s="26" t="s">
        <v>377</v>
      </c>
      <c r="D323" s="26" t="s">
        <v>118</v>
      </c>
      <c r="E323" s="20">
        <f t="shared" ref="E323:E341" si="270">SUM(F323:I323)</f>
        <v>503.29999999999995</v>
      </c>
      <c r="F323" s="38">
        <f t="shared" ref="F323:F341" si="271">K323+P323+U323</f>
        <v>0</v>
      </c>
      <c r="G323" s="38">
        <f>L323+Q323+V323+AA323+AF323+AK323</f>
        <v>0</v>
      </c>
      <c r="H323" s="38">
        <f>M323+R323+W323+AB323+AG323+AL323</f>
        <v>503.29999999999995</v>
      </c>
      <c r="I323" s="38">
        <f t="shared" ref="I323:I341" si="272">N323+S323+X323+AC323+AH323+AM323</f>
        <v>0</v>
      </c>
      <c r="J323" s="18">
        <f t="shared" ref="J323:J341" si="273">SUM(K323:N323)</f>
        <v>87.5</v>
      </c>
      <c r="K323" s="19">
        <v>0</v>
      </c>
      <c r="L323" s="19">
        <v>0</v>
      </c>
      <c r="M323" s="19">
        <v>87.5</v>
      </c>
      <c r="N323" s="19">
        <v>0</v>
      </c>
      <c r="O323" s="18">
        <f t="shared" ref="O323:O341" si="274">SUM(P323:S323)</f>
        <v>81.099999999999994</v>
      </c>
      <c r="P323" s="19">
        <v>0</v>
      </c>
      <c r="Q323" s="19">
        <v>0</v>
      </c>
      <c r="R323" s="19">
        <v>81.099999999999994</v>
      </c>
      <c r="S323" s="19">
        <v>0</v>
      </c>
      <c r="T323" s="18">
        <f t="shared" ref="T323:T341" si="275">SUM(U323:X323)</f>
        <v>83.9</v>
      </c>
      <c r="U323" s="19">
        <v>0</v>
      </c>
      <c r="V323" s="19">
        <v>0</v>
      </c>
      <c r="W323" s="107">
        <v>83.9</v>
      </c>
      <c r="X323" s="19">
        <v>0</v>
      </c>
      <c r="Y323" s="18">
        <f t="shared" ref="Y323:Y341" si="276">SUM(Z323:AC323)</f>
        <v>83.4</v>
      </c>
      <c r="Z323" s="19">
        <v>0</v>
      </c>
      <c r="AA323" s="19">
        <v>0</v>
      </c>
      <c r="AB323" s="19">
        <v>83.4</v>
      </c>
      <c r="AC323" s="19">
        <v>0</v>
      </c>
      <c r="AD323" s="18">
        <f t="shared" ref="AD323:AD341" si="277">SUM(AE323:AH323)</f>
        <v>83.7</v>
      </c>
      <c r="AE323" s="19">
        <v>0</v>
      </c>
      <c r="AF323" s="19">
        <v>0</v>
      </c>
      <c r="AG323" s="19">
        <v>83.7</v>
      </c>
      <c r="AH323" s="19">
        <v>0</v>
      </c>
      <c r="AI323" s="18">
        <f t="shared" ref="AI323:AI341" si="278">SUM(AJ323:AM323)</f>
        <v>83.7</v>
      </c>
      <c r="AJ323" s="19">
        <v>0</v>
      </c>
      <c r="AK323" s="19">
        <v>0</v>
      </c>
      <c r="AL323" s="19">
        <v>83.7</v>
      </c>
      <c r="AM323" s="19">
        <v>0</v>
      </c>
    </row>
    <row r="324" spans="1:39" s="2" customFormat="1" ht="78.75" outlineLevel="3" x14ac:dyDescent="0.25">
      <c r="A324" s="8" t="s">
        <v>218</v>
      </c>
      <c r="B324" s="33" t="s">
        <v>59</v>
      </c>
      <c r="C324" s="26" t="s">
        <v>377</v>
      </c>
      <c r="D324" s="26" t="s">
        <v>118</v>
      </c>
      <c r="E324" s="20">
        <f t="shared" si="270"/>
        <v>5875.0000000000009</v>
      </c>
      <c r="F324" s="38">
        <f t="shared" si="271"/>
        <v>0</v>
      </c>
      <c r="G324" s="38">
        <f t="shared" ref="G324:G341" si="279">L324+Q324+V324+AA324+AF324+AK324</f>
        <v>0</v>
      </c>
      <c r="H324" s="38">
        <f>M324+R324+W324+AB324+AG324+AL324</f>
        <v>5875.0000000000009</v>
      </c>
      <c r="I324" s="38">
        <f t="shared" si="272"/>
        <v>0</v>
      </c>
      <c r="J324" s="18">
        <f t="shared" si="273"/>
        <v>2286.8000000000002</v>
      </c>
      <c r="K324" s="19">
        <v>0</v>
      </c>
      <c r="L324" s="19">
        <v>0</v>
      </c>
      <c r="M324" s="19">
        <f>428+1858.8</f>
        <v>2286.8000000000002</v>
      </c>
      <c r="N324" s="19">
        <v>0</v>
      </c>
      <c r="O324" s="18">
        <f t="shared" si="274"/>
        <v>1962.5</v>
      </c>
      <c r="P324" s="19">
        <v>0</v>
      </c>
      <c r="Q324" s="19">
        <v>0</v>
      </c>
      <c r="R324" s="19">
        <f>430.6+1531.9</f>
        <v>1962.5</v>
      </c>
      <c r="S324" s="19">
        <v>0</v>
      </c>
      <c r="T324" s="18">
        <f t="shared" si="275"/>
        <v>407.4</v>
      </c>
      <c r="U324" s="19">
        <v>0</v>
      </c>
      <c r="V324" s="19">
        <v>0</v>
      </c>
      <c r="W324" s="107">
        <v>407.4</v>
      </c>
      <c r="X324" s="19">
        <v>0</v>
      </c>
      <c r="Y324" s="18">
        <f t="shared" si="276"/>
        <v>405.1</v>
      </c>
      <c r="Z324" s="19">
        <v>0</v>
      </c>
      <c r="AA324" s="19">
        <v>0</v>
      </c>
      <c r="AB324" s="19">
        <v>405.1</v>
      </c>
      <c r="AC324" s="19">
        <v>0</v>
      </c>
      <c r="AD324" s="18">
        <f t="shared" si="277"/>
        <v>406.6</v>
      </c>
      <c r="AE324" s="19">
        <v>0</v>
      </c>
      <c r="AF324" s="19">
        <v>0</v>
      </c>
      <c r="AG324" s="19">
        <v>406.6</v>
      </c>
      <c r="AH324" s="19">
        <v>0</v>
      </c>
      <c r="AI324" s="18">
        <f t="shared" si="278"/>
        <v>406.6</v>
      </c>
      <c r="AJ324" s="19">
        <v>0</v>
      </c>
      <c r="AK324" s="19">
        <v>0</v>
      </c>
      <c r="AL324" s="19">
        <v>406.6</v>
      </c>
      <c r="AM324" s="19">
        <v>0</v>
      </c>
    </row>
    <row r="325" spans="1:39" s="2" customFormat="1" ht="78.75" outlineLevel="3" x14ac:dyDescent="0.25">
      <c r="A325" s="8" t="s">
        <v>219</v>
      </c>
      <c r="B325" s="33" t="s">
        <v>23</v>
      </c>
      <c r="C325" s="26" t="s">
        <v>377</v>
      </c>
      <c r="D325" s="26" t="s">
        <v>118</v>
      </c>
      <c r="E325" s="20">
        <f t="shared" si="270"/>
        <v>24696.300000000003</v>
      </c>
      <c r="F325" s="38">
        <f t="shared" si="271"/>
        <v>0</v>
      </c>
      <c r="G325" s="38">
        <f t="shared" si="279"/>
        <v>0</v>
      </c>
      <c r="H325" s="38">
        <f>M325+R325+W325+AB325+AG325+AL325</f>
        <v>24696.300000000003</v>
      </c>
      <c r="I325" s="38">
        <f t="shared" si="272"/>
        <v>0</v>
      </c>
      <c r="J325" s="18">
        <f t="shared" si="273"/>
        <v>3601.5</v>
      </c>
      <c r="K325" s="19">
        <v>0</v>
      </c>
      <c r="L325" s="19">
        <v>0</v>
      </c>
      <c r="M325" s="19">
        <v>3601.5</v>
      </c>
      <c r="N325" s="19">
        <v>0</v>
      </c>
      <c r="O325" s="18">
        <f t="shared" si="274"/>
        <v>5972.1</v>
      </c>
      <c r="P325" s="19">
        <v>0</v>
      </c>
      <c r="Q325" s="19">
        <v>0</v>
      </c>
      <c r="R325" s="19">
        <f>3732.6+2239.5</f>
        <v>5972.1</v>
      </c>
      <c r="S325" s="19">
        <v>0</v>
      </c>
      <c r="T325" s="18">
        <f t="shared" si="275"/>
        <v>3789.8</v>
      </c>
      <c r="U325" s="19">
        <v>0</v>
      </c>
      <c r="V325" s="19">
        <v>0</v>
      </c>
      <c r="W325" s="107">
        <v>3789.8</v>
      </c>
      <c r="X325" s="19">
        <v>0</v>
      </c>
      <c r="Y325" s="18">
        <f t="shared" si="276"/>
        <v>3767.9</v>
      </c>
      <c r="Z325" s="19">
        <v>0</v>
      </c>
      <c r="AA325" s="19">
        <v>0</v>
      </c>
      <c r="AB325" s="19">
        <v>3767.9</v>
      </c>
      <c r="AC325" s="19">
        <v>0</v>
      </c>
      <c r="AD325" s="18">
        <f t="shared" si="277"/>
        <v>3782.5</v>
      </c>
      <c r="AE325" s="19">
        <v>0</v>
      </c>
      <c r="AF325" s="19">
        <v>0</v>
      </c>
      <c r="AG325" s="19">
        <v>3782.5</v>
      </c>
      <c r="AH325" s="19">
        <v>0</v>
      </c>
      <c r="AI325" s="18">
        <f t="shared" si="278"/>
        <v>3782.5</v>
      </c>
      <c r="AJ325" s="19">
        <v>0</v>
      </c>
      <c r="AK325" s="19">
        <v>0</v>
      </c>
      <c r="AL325" s="19">
        <v>3782.5</v>
      </c>
      <c r="AM325" s="19">
        <v>0</v>
      </c>
    </row>
    <row r="326" spans="1:39" s="2" customFormat="1" ht="78.75" outlineLevel="3" x14ac:dyDescent="0.25">
      <c r="A326" s="8" t="s">
        <v>220</v>
      </c>
      <c r="B326" s="33" t="s">
        <v>49</v>
      </c>
      <c r="C326" s="26" t="s">
        <v>377</v>
      </c>
      <c r="D326" s="26" t="s">
        <v>118</v>
      </c>
      <c r="E326" s="20">
        <f t="shared" si="270"/>
        <v>4136.2</v>
      </c>
      <c r="F326" s="38">
        <f t="shared" si="271"/>
        <v>0</v>
      </c>
      <c r="G326" s="38">
        <f t="shared" si="279"/>
        <v>0</v>
      </c>
      <c r="H326" s="38">
        <f>M326+R326+W326+AB326+AG326+AL326</f>
        <v>4136.2</v>
      </c>
      <c r="I326" s="38">
        <f t="shared" si="272"/>
        <v>0</v>
      </c>
      <c r="J326" s="18">
        <f t="shared" si="273"/>
        <v>664.5</v>
      </c>
      <c r="K326" s="19">
        <v>0</v>
      </c>
      <c r="L326" s="19">
        <v>0</v>
      </c>
      <c r="M326" s="19">
        <v>664.5</v>
      </c>
      <c r="N326" s="19">
        <v>0</v>
      </c>
      <c r="O326" s="18">
        <f t="shared" si="274"/>
        <v>696.3</v>
      </c>
      <c r="P326" s="19">
        <v>0</v>
      </c>
      <c r="Q326" s="19">
        <v>0</v>
      </c>
      <c r="R326" s="19">
        <v>696.3</v>
      </c>
      <c r="S326" s="19">
        <v>0</v>
      </c>
      <c r="T326" s="18">
        <f t="shared" si="275"/>
        <v>695.5</v>
      </c>
      <c r="U326" s="19">
        <v>0</v>
      </c>
      <c r="V326" s="19">
        <v>0</v>
      </c>
      <c r="W326" s="107">
        <v>695.5</v>
      </c>
      <c r="X326" s="19">
        <v>0</v>
      </c>
      <c r="Y326" s="18">
        <f t="shared" si="276"/>
        <v>691.5</v>
      </c>
      <c r="Z326" s="19">
        <v>0</v>
      </c>
      <c r="AA326" s="19">
        <v>0</v>
      </c>
      <c r="AB326" s="19">
        <v>691.5</v>
      </c>
      <c r="AC326" s="19">
        <v>0</v>
      </c>
      <c r="AD326" s="18">
        <f t="shared" si="277"/>
        <v>694.2</v>
      </c>
      <c r="AE326" s="19">
        <v>0</v>
      </c>
      <c r="AF326" s="19">
        <v>0</v>
      </c>
      <c r="AG326" s="19">
        <v>694.2</v>
      </c>
      <c r="AH326" s="19">
        <v>0</v>
      </c>
      <c r="AI326" s="18">
        <f t="shared" si="278"/>
        <v>694.2</v>
      </c>
      <c r="AJ326" s="19">
        <v>0</v>
      </c>
      <c r="AK326" s="19">
        <v>0</v>
      </c>
      <c r="AL326" s="19">
        <v>694.2</v>
      </c>
      <c r="AM326" s="19">
        <v>0</v>
      </c>
    </row>
    <row r="327" spans="1:39" s="2" customFormat="1" ht="78.75" outlineLevel="3" x14ac:dyDescent="0.25">
      <c r="A327" s="8" t="s">
        <v>221</v>
      </c>
      <c r="B327" s="33" t="s">
        <v>50</v>
      </c>
      <c r="C327" s="26" t="s">
        <v>377</v>
      </c>
      <c r="D327" s="26" t="s">
        <v>118</v>
      </c>
      <c r="E327" s="20">
        <f t="shared" si="270"/>
        <v>1696.6</v>
      </c>
      <c r="F327" s="38">
        <f t="shared" si="271"/>
        <v>0</v>
      </c>
      <c r="G327" s="38">
        <f t="shared" si="279"/>
        <v>0</v>
      </c>
      <c r="H327" s="38">
        <f>M327+R327+W327+AB327+AG327+AL327</f>
        <v>1696.6</v>
      </c>
      <c r="I327" s="38">
        <f t="shared" si="272"/>
        <v>0</v>
      </c>
      <c r="J327" s="18">
        <f t="shared" si="273"/>
        <v>265</v>
      </c>
      <c r="K327" s="19">
        <v>0</v>
      </c>
      <c r="L327" s="19">
        <v>0</v>
      </c>
      <c r="M327" s="19">
        <v>265</v>
      </c>
      <c r="N327" s="19">
        <v>0</v>
      </c>
      <c r="O327" s="18">
        <f t="shared" si="274"/>
        <v>281.8</v>
      </c>
      <c r="P327" s="19">
        <v>0</v>
      </c>
      <c r="Q327" s="19">
        <v>0</v>
      </c>
      <c r="R327" s="19">
        <v>281.8</v>
      </c>
      <c r="S327" s="19">
        <v>0</v>
      </c>
      <c r="T327" s="18">
        <f t="shared" si="275"/>
        <v>288.10000000000002</v>
      </c>
      <c r="U327" s="19">
        <v>0</v>
      </c>
      <c r="V327" s="19">
        <v>0</v>
      </c>
      <c r="W327" s="107">
        <v>288.10000000000002</v>
      </c>
      <c r="X327" s="19">
        <v>0</v>
      </c>
      <c r="Y327" s="18">
        <f t="shared" si="276"/>
        <v>286.5</v>
      </c>
      <c r="Z327" s="19">
        <v>0</v>
      </c>
      <c r="AA327" s="19">
        <v>0</v>
      </c>
      <c r="AB327" s="19">
        <v>286.5</v>
      </c>
      <c r="AC327" s="19">
        <v>0</v>
      </c>
      <c r="AD327" s="18">
        <f t="shared" si="277"/>
        <v>287.60000000000002</v>
      </c>
      <c r="AE327" s="19">
        <v>0</v>
      </c>
      <c r="AF327" s="19">
        <v>0</v>
      </c>
      <c r="AG327" s="19">
        <v>287.60000000000002</v>
      </c>
      <c r="AH327" s="19">
        <v>0</v>
      </c>
      <c r="AI327" s="18">
        <f t="shared" si="278"/>
        <v>287.60000000000002</v>
      </c>
      <c r="AJ327" s="19">
        <v>0</v>
      </c>
      <c r="AK327" s="19">
        <v>0</v>
      </c>
      <c r="AL327" s="19">
        <v>287.60000000000002</v>
      </c>
      <c r="AM327" s="19">
        <v>0</v>
      </c>
    </row>
    <row r="328" spans="1:39" s="2" customFormat="1" ht="78.75" outlineLevel="3" x14ac:dyDescent="0.25">
      <c r="A328" s="8" t="s">
        <v>222</v>
      </c>
      <c r="B328" s="33" t="s">
        <v>65</v>
      </c>
      <c r="C328" s="26" t="s">
        <v>377</v>
      </c>
      <c r="D328" s="26" t="s">
        <v>118</v>
      </c>
      <c r="E328" s="20">
        <f t="shared" si="270"/>
        <v>1312.5</v>
      </c>
      <c r="F328" s="38">
        <f t="shared" si="271"/>
        <v>0</v>
      </c>
      <c r="G328" s="38">
        <f t="shared" si="279"/>
        <v>0</v>
      </c>
      <c r="H328" s="38">
        <f t="shared" ref="H328:H341" si="280">M328+R328+W328+AB328+AG328+AL328</f>
        <v>1312.5</v>
      </c>
      <c r="I328" s="38">
        <f t="shared" si="272"/>
        <v>0</v>
      </c>
      <c r="J328" s="18">
        <f t="shared" si="273"/>
        <v>208</v>
      </c>
      <c r="K328" s="19">
        <v>0</v>
      </c>
      <c r="L328" s="19">
        <v>0</v>
      </c>
      <c r="M328" s="19">
        <v>208</v>
      </c>
      <c r="N328" s="19">
        <v>0</v>
      </c>
      <c r="O328" s="18">
        <f t="shared" si="274"/>
        <v>216.8</v>
      </c>
      <c r="P328" s="19">
        <v>0</v>
      </c>
      <c r="Q328" s="19">
        <v>0</v>
      </c>
      <c r="R328" s="19">
        <v>216.8</v>
      </c>
      <c r="S328" s="19">
        <v>0</v>
      </c>
      <c r="T328" s="18">
        <f t="shared" si="275"/>
        <v>222.5</v>
      </c>
      <c r="U328" s="19">
        <v>0</v>
      </c>
      <c r="V328" s="19">
        <v>0</v>
      </c>
      <c r="W328" s="107">
        <v>222.5</v>
      </c>
      <c r="X328" s="19">
        <v>0</v>
      </c>
      <c r="Y328" s="18">
        <f t="shared" si="276"/>
        <v>221.2</v>
      </c>
      <c r="Z328" s="19">
        <v>0</v>
      </c>
      <c r="AA328" s="19">
        <v>0</v>
      </c>
      <c r="AB328" s="19">
        <v>221.2</v>
      </c>
      <c r="AC328" s="19">
        <v>0</v>
      </c>
      <c r="AD328" s="18">
        <f t="shared" si="277"/>
        <v>222</v>
      </c>
      <c r="AE328" s="19">
        <v>0</v>
      </c>
      <c r="AF328" s="19">
        <v>0</v>
      </c>
      <c r="AG328" s="19">
        <v>222</v>
      </c>
      <c r="AH328" s="19">
        <v>0</v>
      </c>
      <c r="AI328" s="18">
        <f t="shared" si="278"/>
        <v>222</v>
      </c>
      <c r="AJ328" s="19">
        <v>0</v>
      </c>
      <c r="AK328" s="19">
        <v>0</v>
      </c>
      <c r="AL328" s="19">
        <v>222</v>
      </c>
      <c r="AM328" s="19">
        <v>0</v>
      </c>
    </row>
    <row r="329" spans="1:39" s="2" customFormat="1" ht="78.75" outlineLevel="3" x14ac:dyDescent="0.25">
      <c r="A329" s="8" t="s">
        <v>223</v>
      </c>
      <c r="B329" s="33" t="s">
        <v>51</v>
      </c>
      <c r="C329" s="26" t="s">
        <v>377</v>
      </c>
      <c r="D329" s="26" t="s">
        <v>118</v>
      </c>
      <c r="E329" s="20">
        <f t="shared" si="270"/>
        <v>1206.4000000000001</v>
      </c>
      <c r="F329" s="38">
        <f t="shared" si="271"/>
        <v>0</v>
      </c>
      <c r="G329" s="38">
        <f t="shared" si="279"/>
        <v>0</v>
      </c>
      <c r="H329" s="38">
        <f t="shared" si="280"/>
        <v>1206.4000000000001</v>
      </c>
      <c r="I329" s="38">
        <f t="shared" si="272"/>
        <v>0</v>
      </c>
      <c r="J329" s="18">
        <f t="shared" si="273"/>
        <v>302</v>
      </c>
      <c r="K329" s="19">
        <v>0</v>
      </c>
      <c r="L329" s="19">
        <v>0</v>
      </c>
      <c r="M329" s="19">
        <f>152+150</f>
        <v>302</v>
      </c>
      <c r="N329" s="19">
        <v>0</v>
      </c>
      <c r="O329" s="18">
        <f t="shared" si="274"/>
        <v>159.6</v>
      </c>
      <c r="P329" s="19">
        <v>0</v>
      </c>
      <c r="Q329" s="19">
        <v>0</v>
      </c>
      <c r="R329" s="19">
        <v>159.6</v>
      </c>
      <c r="S329" s="19">
        <v>0</v>
      </c>
      <c r="T329" s="18">
        <f t="shared" si="275"/>
        <v>260.3</v>
      </c>
      <c r="U329" s="19">
        <v>0</v>
      </c>
      <c r="V329" s="19">
        <v>0</v>
      </c>
      <c r="W329" s="107">
        <f>162+98.3</f>
        <v>260.3</v>
      </c>
      <c r="X329" s="19">
        <v>0</v>
      </c>
      <c r="Y329" s="18">
        <f t="shared" si="276"/>
        <v>161.1</v>
      </c>
      <c r="Z329" s="19">
        <v>0</v>
      </c>
      <c r="AA329" s="19">
        <v>0</v>
      </c>
      <c r="AB329" s="19">
        <v>161.1</v>
      </c>
      <c r="AC329" s="19">
        <v>0</v>
      </c>
      <c r="AD329" s="18">
        <f t="shared" si="277"/>
        <v>161.69999999999999</v>
      </c>
      <c r="AE329" s="19">
        <v>0</v>
      </c>
      <c r="AF329" s="19">
        <v>0</v>
      </c>
      <c r="AG329" s="19">
        <v>161.69999999999999</v>
      </c>
      <c r="AH329" s="19">
        <v>0</v>
      </c>
      <c r="AI329" s="18">
        <f t="shared" si="278"/>
        <v>161.69999999999999</v>
      </c>
      <c r="AJ329" s="19">
        <v>0</v>
      </c>
      <c r="AK329" s="19">
        <v>0</v>
      </c>
      <c r="AL329" s="19">
        <v>161.69999999999999</v>
      </c>
      <c r="AM329" s="19">
        <v>0</v>
      </c>
    </row>
    <row r="330" spans="1:39" s="2" customFormat="1" ht="78.75" outlineLevel="3" x14ac:dyDescent="0.25">
      <c r="A330" s="8" t="s">
        <v>224</v>
      </c>
      <c r="B330" s="33" t="s">
        <v>52</v>
      </c>
      <c r="C330" s="26" t="s">
        <v>377</v>
      </c>
      <c r="D330" s="26" t="s">
        <v>118</v>
      </c>
      <c r="E330" s="20">
        <f t="shared" si="270"/>
        <v>2487.5</v>
      </c>
      <c r="F330" s="38">
        <f t="shared" si="271"/>
        <v>0</v>
      </c>
      <c r="G330" s="38">
        <f t="shared" si="279"/>
        <v>0</v>
      </c>
      <c r="H330" s="38">
        <f t="shared" si="280"/>
        <v>2487.5</v>
      </c>
      <c r="I330" s="38">
        <f t="shared" si="272"/>
        <v>0</v>
      </c>
      <c r="J330" s="18">
        <f t="shared" si="273"/>
        <v>399.5</v>
      </c>
      <c r="K330" s="19">
        <v>0</v>
      </c>
      <c r="L330" s="19">
        <v>0</v>
      </c>
      <c r="M330" s="19">
        <v>399.5</v>
      </c>
      <c r="N330" s="19">
        <v>0</v>
      </c>
      <c r="O330" s="18">
        <f t="shared" si="274"/>
        <v>424.8</v>
      </c>
      <c r="P330" s="19">
        <v>0</v>
      </c>
      <c r="Q330" s="19">
        <v>0</v>
      </c>
      <c r="R330" s="19">
        <v>424.8</v>
      </c>
      <c r="S330" s="19">
        <v>0</v>
      </c>
      <c r="T330" s="18">
        <f t="shared" si="275"/>
        <v>416.8</v>
      </c>
      <c r="U330" s="19">
        <v>0</v>
      </c>
      <c r="V330" s="19">
        <v>0</v>
      </c>
      <c r="W330" s="107">
        <v>416.8</v>
      </c>
      <c r="X330" s="19">
        <v>0</v>
      </c>
      <c r="Y330" s="18">
        <f t="shared" si="276"/>
        <v>414.4</v>
      </c>
      <c r="Z330" s="19">
        <v>0</v>
      </c>
      <c r="AA330" s="19">
        <v>0</v>
      </c>
      <c r="AB330" s="19">
        <v>414.4</v>
      </c>
      <c r="AC330" s="19">
        <v>0</v>
      </c>
      <c r="AD330" s="18">
        <f t="shared" si="277"/>
        <v>416</v>
      </c>
      <c r="AE330" s="19">
        <v>0</v>
      </c>
      <c r="AF330" s="19">
        <v>0</v>
      </c>
      <c r="AG330" s="19">
        <v>416</v>
      </c>
      <c r="AH330" s="19">
        <v>0</v>
      </c>
      <c r="AI330" s="18">
        <f t="shared" si="278"/>
        <v>416</v>
      </c>
      <c r="AJ330" s="19">
        <v>0</v>
      </c>
      <c r="AK330" s="19">
        <v>0</v>
      </c>
      <c r="AL330" s="19">
        <v>416</v>
      </c>
      <c r="AM330" s="19">
        <v>0</v>
      </c>
    </row>
    <row r="331" spans="1:39" s="2" customFormat="1" ht="78.75" outlineLevel="3" x14ac:dyDescent="0.25">
      <c r="A331" s="8" t="s">
        <v>225</v>
      </c>
      <c r="B331" s="33" t="s">
        <v>64</v>
      </c>
      <c r="C331" s="26" t="s">
        <v>377</v>
      </c>
      <c r="D331" s="26" t="s">
        <v>118</v>
      </c>
      <c r="E331" s="20">
        <f t="shared" si="270"/>
        <v>2452.1</v>
      </c>
      <c r="F331" s="38">
        <f t="shared" si="271"/>
        <v>0</v>
      </c>
      <c r="G331" s="38">
        <f t="shared" si="279"/>
        <v>0</v>
      </c>
      <c r="H331" s="38">
        <f t="shared" si="280"/>
        <v>2452.1</v>
      </c>
      <c r="I331" s="38">
        <f t="shared" si="272"/>
        <v>0</v>
      </c>
      <c r="J331" s="18">
        <f t="shared" si="273"/>
        <v>399.5</v>
      </c>
      <c r="K331" s="19">
        <v>0</v>
      </c>
      <c r="L331" s="19">
        <v>0</v>
      </c>
      <c r="M331" s="19">
        <v>399.5</v>
      </c>
      <c r="N331" s="19">
        <v>0</v>
      </c>
      <c r="O331" s="18">
        <f t="shared" si="274"/>
        <v>418.6</v>
      </c>
      <c r="P331" s="19">
        <v>0</v>
      </c>
      <c r="Q331" s="19">
        <v>0</v>
      </c>
      <c r="R331" s="19">
        <v>418.6</v>
      </c>
      <c r="S331" s="19">
        <v>0</v>
      </c>
      <c r="T331" s="18">
        <f t="shared" si="275"/>
        <v>409.5</v>
      </c>
      <c r="U331" s="19">
        <v>0</v>
      </c>
      <c r="V331" s="19">
        <v>0</v>
      </c>
      <c r="W331" s="107">
        <v>409.5</v>
      </c>
      <c r="X331" s="19">
        <v>0</v>
      </c>
      <c r="Y331" s="18">
        <f t="shared" si="276"/>
        <v>407.1</v>
      </c>
      <c r="Z331" s="19">
        <v>0</v>
      </c>
      <c r="AA331" s="19">
        <v>0</v>
      </c>
      <c r="AB331" s="19">
        <v>407.1</v>
      </c>
      <c r="AC331" s="19">
        <v>0</v>
      </c>
      <c r="AD331" s="18">
        <f t="shared" si="277"/>
        <v>408.7</v>
      </c>
      <c r="AE331" s="19">
        <v>0</v>
      </c>
      <c r="AF331" s="19">
        <v>0</v>
      </c>
      <c r="AG331" s="19">
        <v>408.7</v>
      </c>
      <c r="AH331" s="19">
        <v>0</v>
      </c>
      <c r="AI331" s="18">
        <f t="shared" si="278"/>
        <v>408.7</v>
      </c>
      <c r="AJ331" s="19">
        <v>0</v>
      </c>
      <c r="AK331" s="19">
        <v>0</v>
      </c>
      <c r="AL331" s="19">
        <v>408.7</v>
      </c>
      <c r="AM331" s="19">
        <v>0</v>
      </c>
    </row>
    <row r="332" spans="1:39" s="2" customFormat="1" ht="78.75" outlineLevel="3" x14ac:dyDescent="0.25">
      <c r="A332" s="8" t="s">
        <v>226</v>
      </c>
      <c r="B332" s="33" t="s">
        <v>53</v>
      </c>
      <c r="C332" s="26" t="s">
        <v>377</v>
      </c>
      <c r="D332" s="26" t="s">
        <v>118</v>
      </c>
      <c r="E332" s="20">
        <f t="shared" si="270"/>
        <v>2558.8999999999996</v>
      </c>
      <c r="F332" s="38">
        <f t="shared" si="271"/>
        <v>0</v>
      </c>
      <c r="G332" s="38">
        <f t="shared" si="279"/>
        <v>0</v>
      </c>
      <c r="H332" s="38">
        <f t="shared" si="280"/>
        <v>2558.8999999999996</v>
      </c>
      <c r="I332" s="38">
        <f t="shared" si="272"/>
        <v>0</v>
      </c>
      <c r="J332" s="18">
        <f t="shared" si="273"/>
        <v>434</v>
      </c>
      <c r="K332" s="19">
        <v>0</v>
      </c>
      <c r="L332" s="19">
        <v>0</v>
      </c>
      <c r="M332" s="19">
        <v>434</v>
      </c>
      <c r="N332" s="19">
        <v>0</v>
      </c>
      <c r="O332" s="18">
        <f t="shared" si="274"/>
        <v>438.9</v>
      </c>
      <c r="P332" s="19">
        <v>0</v>
      </c>
      <c r="Q332" s="19">
        <v>0</v>
      </c>
      <c r="R332" s="19">
        <v>438.9</v>
      </c>
      <c r="S332" s="19">
        <v>0</v>
      </c>
      <c r="T332" s="18">
        <f t="shared" si="275"/>
        <v>422.5</v>
      </c>
      <c r="U332" s="19">
        <v>0</v>
      </c>
      <c r="V332" s="19">
        <v>0</v>
      </c>
      <c r="W332" s="107">
        <v>422.5</v>
      </c>
      <c r="X332" s="19">
        <v>0</v>
      </c>
      <c r="Y332" s="18">
        <f t="shared" si="276"/>
        <v>420.1</v>
      </c>
      <c r="Z332" s="19">
        <v>0</v>
      </c>
      <c r="AA332" s="19">
        <v>0</v>
      </c>
      <c r="AB332" s="19">
        <v>420.1</v>
      </c>
      <c r="AC332" s="19">
        <v>0</v>
      </c>
      <c r="AD332" s="18">
        <f t="shared" si="277"/>
        <v>421.7</v>
      </c>
      <c r="AE332" s="19">
        <v>0</v>
      </c>
      <c r="AF332" s="19">
        <v>0</v>
      </c>
      <c r="AG332" s="19">
        <v>421.7</v>
      </c>
      <c r="AH332" s="19">
        <v>0</v>
      </c>
      <c r="AI332" s="18">
        <f t="shared" si="278"/>
        <v>421.7</v>
      </c>
      <c r="AJ332" s="19">
        <v>0</v>
      </c>
      <c r="AK332" s="19">
        <v>0</v>
      </c>
      <c r="AL332" s="19">
        <v>421.7</v>
      </c>
      <c r="AM332" s="19">
        <v>0</v>
      </c>
    </row>
    <row r="333" spans="1:39" s="2" customFormat="1" ht="78.75" outlineLevel="3" x14ac:dyDescent="0.25">
      <c r="A333" s="8" t="s">
        <v>227</v>
      </c>
      <c r="B333" s="33" t="s">
        <v>63</v>
      </c>
      <c r="C333" s="26" t="s">
        <v>377</v>
      </c>
      <c r="D333" s="26" t="s">
        <v>118</v>
      </c>
      <c r="E333" s="20">
        <f t="shared" si="270"/>
        <v>1632.7000000000003</v>
      </c>
      <c r="F333" s="38">
        <f t="shared" si="271"/>
        <v>0</v>
      </c>
      <c r="G333" s="38">
        <f t="shared" si="279"/>
        <v>0</v>
      </c>
      <c r="H333" s="38">
        <f t="shared" si="280"/>
        <v>1632.7000000000003</v>
      </c>
      <c r="I333" s="38">
        <f t="shared" si="272"/>
        <v>0</v>
      </c>
      <c r="J333" s="18">
        <f t="shared" si="273"/>
        <v>143.6</v>
      </c>
      <c r="K333" s="19">
        <v>0</v>
      </c>
      <c r="L333" s="19">
        <v>0</v>
      </c>
      <c r="M333" s="19">
        <f>274-130.4</f>
        <v>143.6</v>
      </c>
      <c r="N333" s="19">
        <v>0</v>
      </c>
      <c r="O333" s="18">
        <f t="shared" si="274"/>
        <v>300</v>
      </c>
      <c r="P333" s="19">
        <v>0</v>
      </c>
      <c r="Q333" s="19">
        <v>0</v>
      </c>
      <c r="R333" s="19">
        <v>300</v>
      </c>
      <c r="S333" s="19">
        <v>0</v>
      </c>
      <c r="T333" s="18">
        <f t="shared" si="275"/>
        <v>298</v>
      </c>
      <c r="U333" s="19">
        <v>0</v>
      </c>
      <c r="V333" s="19">
        <v>0</v>
      </c>
      <c r="W333" s="107">
        <v>298</v>
      </c>
      <c r="X333" s="19">
        <v>0</v>
      </c>
      <c r="Y333" s="18">
        <f t="shared" si="276"/>
        <v>296.3</v>
      </c>
      <c r="Z333" s="19">
        <v>0</v>
      </c>
      <c r="AA333" s="19">
        <v>0</v>
      </c>
      <c r="AB333" s="19">
        <v>296.3</v>
      </c>
      <c r="AC333" s="19">
        <v>0</v>
      </c>
      <c r="AD333" s="18">
        <f t="shared" si="277"/>
        <v>297.39999999999998</v>
      </c>
      <c r="AE333" s="19">
        <v>0</v>
      </c>
      <c r="AF333" s="19">
        <v>0</v>
      </c>
      <c r="AG333" s="19">
        <v>297.39999999999998</v>
      </c>
      <c r="AH333" s="19">
        <v>0</v>
      </c>
      <c r="AI333" s="18">
        <f t="shared" si="278"/>
        <v>297.39999999999998</v>
      </c>
      <c r="AJ333" s="19">
        <v>0</v>
      </c>
      <c r="AK333" s="19">
        <v>0</v>
      </c>
      <c r="AL333" s="19">
        <v>297.39999999999998</v>
      </c>
      <c r="AM333" s="19">
        <v>0</v>
      </c>
    </row>
    <row r="334" spans="1:39" s="2" customFormat="1" ht="78.75" outlineLevel="3" x14ac:dyDescent="0.25">
      <c r="A334" s="8" t="s">
        <v>228</v>
      </c>
      <c r="B334" s="33" t="s">
        <v>62</v>
      </c>
      <c r="C334" s="26" t="s">
        <v>377</v>
      </c>
      <c r="D334" s="26" t="s">
        <v>118</v>
      </c>
      <c r="E334" s="20">
        <f t="shared" si="270"/>
        <v>5988.7000000000007</v>
      </c>
      <c r="F334" s="38">
        <f t="shared" si="271"/>
        <v>0</v>
      </c>
      <c r="G334" s="38">
        <f t="shared" si="279"/>
        <v>0</v>
      </c>
      <c r="H334" s="38">
        <f t="shared" si="280"/>
        <v>5988.7000000000007</v>
      </c>
      <c r="I334" s="38">
        <f t="shared" si="272"/>
        <v>0</v>
      </c>
      <c r="J334" s="18">
        <f t="shared" si="273"/>
        <v>1181.5</v>
      </c>
      <c r="K334" s="19">
        <v>0</v>
      </c>
      <c r="L334" s="19">
        <v>0</v>
      </c>
      <c r="M334" s="19">
        <f>400+781.5</f>
        <v>1181.5</v>
      </c>
      <c r="N334" s="19">
        <v>0</v>
      </c>
      <c r="O334" s="18">
        <f t="shared" si="274"/>
        <v>813.8</v>
      </c>
      <c r="P334" s="19">
        <v>0</v>
      </c>
      <c r="Q334" s="19">
        <v>0</v>
      </c>
      <c r="R334" s="19">
        <v>813.8</v>
      </c>
      <c r="S334" s="19">
        <v>0</v>
      </c>
      <c r="T334" s="18">
        <f t="shared" si="275"/>
        <v>1573.7</v>
      </c>
      <c r="U334" s="19">
        <v>0</v>
      </c>
      <c r="V334" s="19">
        <v>0</v>
      </c>
      <c r="W334" s="107">
        <f>809.1+764.6</f>
        <v>1573.7</v>
      </c>
      <c r="X334" s="19">
        <v>0</v>
      </c>
      <c r="Y334" s="18">
        <f t="shared" si="276"/>
        <v>804.5</v>
      </c>
      <c r="Z334" s="19">
        <v>0</v>
      </c>
      <c r="AA334" s="19">
        <v>0</v>
      </c>
      <c r="AB334" s="19">
        <v>804.5</v>
      </c>
      <c r="AC334" s="19">
        <v>0</v>
      </c>
      <c r="AD334" s="18">
        <f t="shared" si="277"/>
        <v>807.6</v>
      </c>
      <c r="AE334" s="19">
        <v>0</v>
      </c>
      <c r="AF334" s="19">
        <v>0</v>
      </c>
      <c r="AG334" s="19">
        <v>807.6</v>
      </c>
      <c r="AH334" s="19">
        <v>0</v>
      </c>
      <c r="AI334" s="18">
        <f t="shared" si="278"/>
        <v>807.6</v>
      </c>
      <c r="AJ334" s="19">
        <v>0</v>
      </c>
      <c r="AK334" s="19">
        <v>0</v>
      </c>
      <c r="AL334" s="19">
        <v>807.6</v>
      </c>
      <c r="AM334" s="19">
        <v>0</v>
      </c>
    </row>
    <row r="335" spans="1:39" s="2" customFormat="1" ht="78.75" outlineLevel="3" x14ac:dyDescent="0.25">
      <c r="A335" s="8" t="s">
        <v>229</v>
      </c>
      <c r="B335" s="33" t="s">
        <v>60</v>
      </c>
      <c r="C335" s="26" t="s">
        <v>377</v>
      </c>
      <c r="D335" s="26" t="s">
        <v>118</v>
      </c>
      <c r="E335" s="20">
        <f t="shared" si="270"/>
        <v>1810.6000000000001</v>
      </c>
      <c r="F335" s="38">
        <f t="shared" si="271"/>
        <v>0</v>
      </c>
      <c r="G335" s="38">
        <f t="shared" si="279"/>
        <v>0</v>
      </c>
      <c r="H335" s="38">
        <f t="shared" si="280"/>
        <v>1810.6000000000001</v>
      </c>
      <c r="I335" s="38">
        <f t="shared" si="272"/>
        <v>0</v>
      </c>
      <c r="J335" s="18">
        <f t="shared" si="273"/>
        <v>299.5</v>
      </c>
      <c r="K335" s="19">
        <v>0</v>
      </c>
      <c r="L335" s="19">
        <v>0</v>
      </c>
      <c r="M335" s="19">
        <v>299.5</v>
      </c>
      <c r="N335" s="19">
        <v>0</v>
      </c>
      <c r="O335" s="18">
        <f t="shared" si="274"/>
        <v>299</v>
      </c>
      <c r="P335" s="19">
        <v>0</v>
      </c>
      <c r="Q335" s="19">
        <v>0</v>
      </c>
      <c r="R335" s="19">
        <v>299</v>
      </c>
      <c r="S335" s="19">
        <v>0</v>
      </c>
      <c r="T335" s="18">
        <f t="shared" si="275"/>
        <v>303.7</v>
      </c>
      <c r="U335" s="19">
        <v>0</v>
      </c>
      <c r="V335" s="19">
        <v>0</v>
      </c>
      <c r="W335" s="107">
        <v>303.7</v>
      </c>
      <c r="X335" s="19">
        <v>0</v>
      </c>
      <c r="Y335" s="18">
        <f t="shared" si="276"/>
        <v>302</v>
      </c>
      <c r="Z335" s="19">
        <v>0</v>
      </c>
      <c r="AA335" s="19">
        <v>0</v>
      </c>
      <c r="AB335" s="19">
        <v>302</v>
      </c>
      <c r="AC335" s="19">
        <v>0</v>
      </c>
      <c r="AD335" s="18">
        <f t="shared" si="277"/>
        <v>303.2</v>
      </c>
      <c r="AE335" s="19">
        <v>0</v>
      </c>
      <c r="AF335" s="19">
        <v>0</v>
      </c>
      <c r="AG335" s="19">
        <v>303.2</v>
      </c>
      <c r="AH335" s="19">
        <v>0</v>
      </c>
      <c r="AI335" s="18">
        <f t="shared" si="278"/>
        <v>303.2</v>
      </c>
      <c r="AJ335" s="19">
        <v>0</v>
      </c>
      <c r="AK335" s="19">
        <v>0</v>
      </c>
      <c r="AL335" s="19">
        <v>303.2</v>
      </c>
      <c r="AM335" s="19">
        <v>0</v>
      </c>
    </row>
    <row r="336" spans="1:39" s="2" customFormat="1" ht="78.75" outlineLevel="3" x14ac:dyDescent="0.25">
      <c r="A336" s="8" t="s">
        <v>230</v>
      </c>
      <c r="B336" s="33" t="s">
        <v>61</v>
      </c>
      <c r="C336" s="26" t="s">
        <v>377</v>
      </c>
      <c r="D336" s="26" t="s">
        <v>118</v>
      </c>
      <c r="E336" s="20">
        <f t="shared" si="270"/>
        <v>2181.6</v>
      </c>
      <c r="F336" s="38">
        <f t="shared" si="271"/>
        <v>0</v>
      </c>
      <c r="G336" s="38">
        <f t="shared" si="279"/>
        <v>0</v>
      </c>
      <c r="H336" s="38">
        <f t="shared" si="280"/>
        <v>2181.6</v>
      </c>
      <c r="I336" s="38">
        <f t="shared" si="272"/>
        <v>0</v>
      </c>
      <c r="J336" s="18">
        <f t="shared" si="273"/>
        <v>653.29999999999995</v>
      </c>
      <c r="K336" s="19">
        <v>0</v>
      </c>
      <c r="L336" s="19">
        <v>0</v>
      </c>
      <c r="M336" s="19">
        <f>289.5+363.8</f>
        <v>653.29999999999995</v>
      </c>
      <c r="N336" s="19">
        <v>0</v>
      </c>
      <c r="O336" s="18">
        <f t="shared" si="274"/>
        <v>314.10000000000002</v>
      </c>
      <c r="P336" s="19">
        <v>0</v>
      </c>
      <c r="Q336" s="19">
        <v>0</v>
      </c>
      <c r="R336" s="19">
        <v>314.10000000000002</v>
      </c>
      <c r="S336" s="19">
        <v>0</v>
      </c>
      <c r="T336" s="18">
        <f t="shared" si="275"/>
        <v>304.3</v>
      </c>
      <c r="U336" s="19">
        <v>0</v>
      </c>
      <c r="V336" s="19">
        <v>0</v>
      </c>
      <c r="W336" s="107">
        <v>304.3</v>
      </c>
      <c r="X336" s="19">
        <v>0</v>
      </c>
      <c r="Y336" s="18">
        <f t="shared" si="276"/>
        <v>302.5</v>
      </c>
      <c r="Z336" s="19">
        <v>0</v>
      </c>
      <c r="AA336" s="19">
        <v>0</v>
      </c>
      <c r="AB336" s="19">
        <v>302.5</v>
      </c>
      <c r="AC336" s="19">
        <v>0</v>
      </c>
      <c r="AD336" s="18">
        <f t="shared" si="277"/>
        <v>303.7</v>
      </c>
      <c r="AE336" s="19">
        <v>0</v>
      </c>
      <c r="AF336" s="19">
        <v>0</v>
      </c>
      <c r="AG336" s="19">
        <v>303.7</v>
      </c>
      <c r="AH336" s="19">
        <v>0</v>
      </c>
      <c r="AI336" s="18">
        <f t="shared" si="278"/>
        <v>303.7</v>
      </c>
      <c r="AJ336" s="19">
        <v>0</v>
      </c>
      <c r="AK336" s="19">
        <v>0</v>
      </c>
      <c r="AL336" s="19">
        <v>303.7</v>
      </c>
      <c r="AM336" s="19">
        <v>0</v>
      </c>
    </row>
    <row r="337" spans="1:39" s="2" customFormat="1" ht="78.75" outlineLevel="3" x14ac:dyDescent="0.25">
      <c r="A337" s="8" t="s">
        <v>231</v>
      </c>
      <c r="B337" s="33" t="s">
        <v>54</v>
      </c>
      <c r="C337" s="26" t="s">
        <v>377</v>
      </c>
      <c r="D337" s="26" t="s">
        <v>118</v>
      </c>
      <c r="E337" s="20">
        <f t="shared" si="270"/>
        <v>3062.6</v>
      </c>
      <c r="F337" s="38">
        <f t="shared" si="271"/>
        <v>0</v>
      </c>
      <c r="G337" s="38">
        <f t="shared" si="279"/>
        <v>0</v>
      </c>
      <c r="H337" s="38">
        <f t="shared" si="280"/>
        <v>3062.6</v>
      </c>
      <c r="I337" s="38">
        <f t="shared" si="272"/>
        <v>0</v>
      </c>
      <c r="J337" s="18">
        <f t="shared" si="273"/>
        <v>372.5</v>
      </c>
      <c r="K337" s="19">
        <v>0</v>
      </c>
      <c r="L337" s="19">
        <v>0</v>
      </c>
      <c r="M337" s="19">
        <v>372.5</v>
      </c>
      <c r="N337" s="19">
        <v>0</v>
      </c>
      <c r="O337" s="18">
        <f t="shared" si="274"/>
        <v>1214</v>
      </c>
      <c r="P337" s="19">
        <v>0</v>
      </c>
      <c r="Q337" s="19">
        <v>0</v>
      </c>
      <c r="R337" s="19">
        <f>378+836</f>
        <v>1214</v>
      </c>
      <c r="S337" s="19">
        <v>0</v>
      </c>
      <c r="T337" s="18">
        <f t="shared" si="275"/>
        <v>369.9</v>
      </c>
      <c r="U337" s="19">
        <v>0</v>
      </c>
      <c r="V337" s="19">
        <v>0</v>
      </c>
      <c r="W337" s="107">
        <v>369.9</v>
      </c>
      <c r="X337" s="19">
        <v>0</v>
      </c>
      <c r="Y337" s="18">
        <f t="shared" si="276"/>
        <v>367.8</v>
      </c>
      <c r="Z337" s="19">
        <v>0</v>
      </c>
      <c r="AA337" s="19">
        <v>0</v>
      </c>
      <c r="AB337" s="19">
        <v>367.8</v>
      </c>
      <c r="AC337" s="19">
        <v>0</v>
      </c>
      <c r="AD337" s="18">
        <f t="shared" si="277"/>
        <v>369.2</v>
      </c>
      <c r="AE337" s="19">
        <v>0</v>
      </c>
      <c r="AF337" s="19">
        <v>0</v>
      </c>
      <c r="AG337" s="19">
        <v>369.2</v>
      </c>
      <c r="AH337" s="19">
        <v>0</v>
      </c>
      <c r="AI337" s="18">
        <f t="shared" si="278"/>
        <v>369.2</v>
      </c>
      <c r="AJ337" s="19">
        <v>0</v>
      </c>
      <c r="AK337" s="19">
        <v>0</v>
      </c>
      <c r="AL337" s="19">
        <v>369.2</v>
      </c>
      <c r="AM337" s="19">
        <v>0</v>
      </c>
    </row>
    <row r="338" spans="1:39" s="2" customFormat="1" ht="78.75" outlineLevel="3" x14ac:dyDescent="0.25">
      <c r="A338" s="8" t="s">
        <v>232</v>
      </c>
      <c r="B338" s="33" t="s">
        <v>55</v>
      </c>
      <c r="C338" s="26" t="s">
        <v>377</v>
      </c>
      <c r="D338" s="26" t="s">
        <v>118</v>
      </c>
      <c r="E338" s="20">
        <f t="shared" si="270"/>
        <v>2016.4</v>
      </c>
      <c r="F338" s="38">
        <f t="shared" si="271"/>
        <v>0</v>
      </c>
      <c r="G338" s="38">
        <f t="shared" si="279"/>
        <v>0</v>
      </c>
      <c r="H338" s="38">
        <f t="shared" si="280"/>
        <v>2016.4</v>
      </c>
      <c r="I338" s="38">
        <f t="shared" si="272"/>
        <v>0</v>
      </c>
      <c r="J338" s="18">
        <f t="shared" si="273"/>
        <v>322.5</v>
      </c>
      <c r="K338" s="19">
        <v>0</v>
      </c>
      <c r="L338" s="19">
        <v>0</v>
      </c>
      <c r="M338" s="19">
        <v>322.5</v>
      </c>
      <c r="N338" s="19">
        <v>0</v>
      </c>
      <c r="O338" s="18">
        <f t="shared" si="274"/>
        <v>338.5</v>
      </c>
      <c r="P338" s="19">
        <v>0</v>
      </c>
      <c r="Q338" s="19">
        <v>0</v>
      </c>
      <c r="R338" s="19">
        <v>338.5</v>
      </c>
      <c r="S338" s="19">
        <v>0</v>
      </c>
      <c r="T338" s="18">
        <f t="shared" si="275"/>
        <v>339.7</v>
      </c>
      <c r="U338" s="19">
        <v>0</v>
      </c>
      <c r="V338" s="19">
        <v>0</v>
      </c>
      <c r="W338" s="107">
        <v>339.7</v>
      </c>
      <c r="X338" s="19">
        <v>0</v>
      </c>
      <c r="Y338" s="18">
        <f t="shared" si="276"/>
        <v>337.7</v>
      </c>
      <c r="Z338" s="19">
        <v>0</v>
      </c>
      <c r="AA338" s="19">
        <v>0</v>
      </c>
      <c r="AB338" s="19">
        <v>337.7</v>
      </c>
      <c r="AC338" s="19">
        <v>0</v>
      </c>
      <c r="AD338" s="18">
        <f t="shared" si="277"/>
        <v>339</v>
      </c>
      <c r="AE338" s="19">
        <v>0</v>
      </c>
      <c r="AF338" s="19">
        <v>0</v>
      </c>
      <c r="AG338" s="19">
        <v>339</v>
      </c>
      <c r="AH338" s="19">
        <v>0</v>
      </c>
      <c r="AI338" s="18">
        <f t="shared" si="278"/>
        <v>339</v>
      </c>
      <c r="AJ338" s="19">
        <v>0</v>
      </c>
      <c r="AK338" s="19">
        <v>0</v>
      </c>
      <c r="AL338" s="19">
        <v>339</v>
      </c>
      <c r="AM338" s="19">
        <v>0</v>
      </c>
    </row>
    <row r="339" spans="1:39" s="2" customFormat="1" ht="78.75" outlineLevel="3" x14ac:dyDescent="0.25">
      <c r="A339" s="8" t="s">
        <v>233</v>
      </c>
      <c r="B339" s="33" t="s">
        <v>56</v>
      </c>
      <c r="C339" s="26" t="s">
        <v>377</v>
      </c>
      <c r="D339" s="26" t="s">
        <v>118</v>
      </c>
      <c r="E339" s="20">
        <f t="shared" si="270"/>
        <v>1353.4999999999998</v>
      </c>
      <c r="F339" s="38">
        <f t="shared" si="271"/>
        <v>0</v>
      </c>
      <c r="G339" s="38">
        <f t="shared" si="279"/>
        <v>0</v>
      </c>
      <c r="H339" s="38">
        <f t="shared" si="280"/>
        <v>1353.4999999999998</v>
      </c>
      <c r="I339" s="38">
        <f t="shared" si="272"/>
        <v>0</v>
      </c>
      <c r="J339" s="18">
        <f t="shared" si="273"/>
        <v>224.5</v>
      </c>
      <c r="K339" s="19">
        <v>0</v>
      </c>
      <c r="L339" s="19">
        <v>0</v>
      </c>
      <c r="M339" s="19">
        <v>224.5</v>
      </c>
      <c r="N339" s="19">
        <v>0</v>
      </c>
      <c r="O339" s="18">
        <f t="shared" si="274"/>
        <v>230.9</v>
      </c>
      <c r="P339" s="19">
        <v>0</v>
      </c>
      <c r="Q339" s="19">
        <v>0</v>
      </c>
      <c r="R339" s="19">
        <v>230.9</v>
      </c>
      <c r="S339" s="19">
        <v>0</v>
      </c>
      <c r="T339" s="18">
        <f t="shared" si="275"/>
        <v>225.1</v>
      </c>
      <c r="U339" s="19">
        <v>0</v>
      </c>
      <c r="V339" s="19">
        <v>0</v>
      </c>
      <c r="W339" s="107">
        <v>225.1</v>
      </c>
      <c r="X339" s="19">
        <v>0</v>
      </c>
      <c r="Y339" s="18">
        <f t="shared" si="276"/>
        <v>223.8</v>
      </c>
      <c r="Z339" s="19">
        <v>0</v>
      </c>
      <c r="AA339" s="19">
        <v>0</v>
      </c>
      <c r="AB339" s="19">
        <v>223.8</v>
      </c>
      <c r="AC339" s="19">
        <v>0</v>
      </c>
      <c r="AD339" s="18">
        <f t="shared" si="277"/>
        <v>224.6</v>
      </c>
      <c r="AE339" s="19">
        <v>0</v>
      </c>
      <c r="AF339" s="19">
        <v>0</v>
      </c>
      <c r="AG339" s="19">
        <v>224.6</v>
      </c>
      <c r="AH339" s="19">
        <v>0</v>
      </c>
      <c r="AI339" s="18">
        <f t="shared" si="278"/>
        <v>224.6</v>
      </c>
      <c r="AJ339" s="19">
        <v>0</v>
      </c>
      <c r="AK339" s="19">
        <v>0</v>
      </c>
      <c r="AL339" s="19">
        <v>224.6</v>
      </c>
      <c r="AM339" s="19">
        <v>0</v>
      </c>
    </row>
    <row r="340" spans="1:39" s="2" customFormat="1" ht="78.75" outlineLevel="3" x14ac:dyDescent="0.25">
      <c r="A340" s="8" t="s">
        <v>234</v>
      </c>
      <c r="B340" s="33" t="s">
        <v>57</v>
      </c>
      <c r="C340" s="26" t="s">
        <v>377</v>
      </c>
      <c r="D340" s="26" t="s">
        <v>118</v>
      </c>
      <c r="E340" s="20">
        <f t="shared" si="270"/>
        <v>3751.1000000000004</v>
      </c>
      <c r="F340" s="38">
        <f t="shared" si="271"/>
        <v>0</v>
      </c>
      <c r="G340" s="38">
        <f t="shared" si="279"/>
        <v>0</v>
      </c>
      <c r="H340" s="38">
        <f t="shared" si="280"/>
        <v>3751.1000000000004</v>
      </c>
      <c r="I340" s="38">
        <f t="shared" si="272"/>
        <v>0</v>
      </c>
      <c r="J340" s="18">
        <f t="shared" si="273"/>
        <v>161</v>
      </c>
      <c r="K340" s="19">
        <v>0</v>
      </c>
      <c r="L340" s="19">
        <v>0</v>
      </c>
      <c r="M340" s="19">
        <v>161</v>
      </c>
      <c r="N340" s="19">
        <v>0</v>
      </c>
      <c r="O340" s="18">
        <f t="shared" si="274"/>
        <v>164.8</v>
      </c>
      <c r="P340" s="19">
        <v>0</v>
      </c>
      <c r="Q340" s="19">
        <v>0</v>
      </c>
      <c r="R340" s="19">
        <v>164.8</v>
      </c>
      <c r="S340" s="19">
        <v>0</v>
      </c>
      <c r="T340" s="18">
        <f t="shared" si="275"/>
        <v>2936</v>
      </c>
      <c r="U340" s="19">
        <v>0</v>
      </c>
      <c r="V340" s="19">
        <v>0</v>
      </c>
      <c r="W340" s="107">
        <v>2936</v>
      </c>
      <c r="X340" s="19">
        <v>0</v>
      </c>
      <c r="Y340" s="18">
        <f t="shared" si="276"/>
        <v>162.69999999999999</v>
      </c>
      <c r="Z340" s="19">
        <v>0</v>
      </c>
      <c r="AA340" s="19">
        <v>0</v>
      </c>
      <c r="AB340" s="19">
        <v>162.69999999999999</v>
      </c>
      <c r="AC340" s="19">
        <v>0</v>
      </c>
      <c r="AD340" s="18">
        <f t="shared" si="277"/>
        <v>163.30000000000001</v>
      </c>
      <c r="AE340" s="19">
        <v>0</v>
      </c>
      <c r="AF340" s="19">
        <v>0</v>
      </c>
      <c r="AG340" s="19">
        <v>163.30000000000001</v>
      </c>
      <c r="AH340" s="19">
        <v>0</v>
      </c>
      <c r="AI340" s="18">
        <f t="shared" si="278"/>
        <v>163.30000000000001</v>
      </c>
      <c r="AJ340" s="19">
        <v>0</v>
      </c>
      <c r="AK340" s="19">
        <v>0</v>
      </c>
      <c r="AL340" s="19">
        <v>163.30000000000001</v>
      </c>
      <c r="AM340" s="19">
        <v>0</v>
      </c>
    </row>
    <row r="341" spans="1:39" s="2" customFormat="1" ht="78.75" outlineLevel="3" x14ac:dyDescent="0.25">
      <c r="A341" s="8" t="s">
        <v>235</v>
      </c>
      <c r="B341" s="33" t="s">
        <v>58</v>
      </c>
      <c r="C341" s="26" t="s">
        <v>377</v>
      </c>
      <c r="D341" s="26" t="s">
        <v>118</v>
      </c>
      <c r="E341" s="20">
        <f t="shared" si="270"/>
        <v>1696.5</v>
      </c>
      <c r="F341" s="38">
        <f t="shared" si="271"/>
        <v>0</v>
      </c>
      <c r="G341" s="38">
        <f t="shared" si="279"/>
        <v>0</v>
      </c>
      <c r="H341" s="38">
        <f t="shared" si="280"/>
        <v>1696.5</v>
      </c>
      <c r="I341" s="38">
        <f t="shared" si="272"/>
        <v>0</v>
      </c>
      <c r="J341" s="18">
        <f t="shared" si="273"/>
        <v>179.8</v>
      </c>
      <c r="K341" s="19">
        <v>0</v>
      </c>
      <c r="L341" s="19">
        <v>0</v>
      </c>
      <c r="M341" s="19">
        <f>287-107.2</f>
        <v>179.8</v>
      </c>
      <c r="N341" s="19">
        <v>0</v>
      </c>
      <c r="O341" s="18">
        <f t="shared" si="274"/>
        <v>306.8</v>
      </c>
      <c r="P341" s="19">
        <v>0</v>
      </c>
      <c r="Q341" s="19">
        <v>0</v>
      </c>
      <c r="R341" s="19">
        <v>306.8</v>
      </c>
      <c r="S341" s="19">
        <v>0</v>
      </c>
      <c r="T341" s="18">
        <f t="shared" si="275"/>
        <v>303.2</v>
      </c>
      <c r="U341" s="19">
        <v>0</v>
      </c>
      <c r="V341" s="19">
        <v>0</v>
      </c>
      <c r="W341" s="107">
        <v>303.2</v>
      </c>
      <c r="X341" s="19">
        <v>0</v>
      </c>
      <c r="Y341" s="18">
        <f t="shared" si="276"/>
        <v>301.5</v>
      </c>
      <c r="Z341" s="19">
        <v>0</v>
      </c>
      <c r="AA341" s="19">
        <v>0</v>
      </c>
      <c r="AB341" s="19">
        <v>301.5</v>
      </c>
      <c r="AC341" s="19">
        <v>0</v>
      </c>
      <c r="AD341" s="18">
        <f t="shared" si="277"/>
        <v>302.60000000000002</v>
      </c>
      <c r="AE341" s="19">
        <v>0</v>
      </c>
      <c r="AF341" s="19">
        <v>0</v>
      </c>
      <c r="AG341" s="19">
        <v>302.60000000000002</v>
      </c>
      <c r="AH341" s="19">
        <v>0</v>
      </c>
      <c r="AI341" s="18">
        <f t="shared" si="278"/>
        <v>302.60000000000002</v>
      </c>
      <c r="AJ341" s="19">
        <v>0</v>
      </c>
      <c r="AK341" s="19">
        <v>0</v>
      </c>
      <c r="AL341" s="19">
        <v>302.60000000000002</v>
      </c>
      <c r="AM341" s="19">
        <v>0</v>
      </c>
    </row>
    <row r="342" spans="1:39" s="5" customFormat="1" outlineLevel="2" x14ac:dyDescent="0.25">
      <c r="A342" s="138" t="s">
        <v>236</v>
      </c>
      <c r="B342" s="176" t="s">
        <v>266</v>
      </c>
      <c r="C342" s="182"/>
      <c r="D342" s="182"/>
      <c r="E342" s="21">
        <f>SUM(E343:E360)</f>
        <v>227775.4</v>
      </c>
      <c r="F342" s="21">
        <f t="shared" ref="F342:AM342" si="281">SUM(F343:F360)</f>
        <v>0</v>
      </c>
      <c r="G342" s="21">
        <f t="shared" si="281"/>
        <v>0</v>
      </c>
      <c r="H342" s="21">
        <f t="shared" si="281"/>
        <v>227775.4</v>
      </c>
      <c r="I342" s="21">
        <f t="shared" si="281"/>
        <v>0</v>
      </c>
      <c r="J342" s="21">
        <f t="shared" si="281"/>
        <v>30533.300000000003</v>
      </c>
      <c r="K342" s="21">
        <f t="shared" si="281"/>
        <v>0</v>
      </c>
      <c r="L342" s="21">
        <f t="shared" si="281"/>
        <v>0</v>
      </c>
      <c r="M342" s="21">
        <f t="shared" si="281"/>
        <v>30533.300000000003</v>
      </c>
      <c r="N342" s="21">
        <f t="shared" si="281"/>
        <v>0</v>
      </c>
      <c r="O342" s="21">
        <f t="shared" si="281"/>
        <v>34489.399999999994</v>
      </c>
      <c r="P342" s="21">
        <f t="shared" si="281"/>
        <v>0</v>
      </c>
      <c r="Q342" s="21">
        <f t="shared" si="281"/>
        <v>0</v>
      </c>
      <c r="R342" s="21">
        <f t="shared" si="281"/>
        <v>34489.399999999994</v>
      </c>
      <c r="S342" s="21">
        <f t="shared" si="281"/>
        <v>0</v>
      </c>
      <c r="T342" s="21">
        <f t="shared" si="281"/>
        <v>38045.999999999993</v>
      </c>
      <c r="U342" s="21">
        <f t="shared" si="281"/>
        <v>0</v>
      </c>
      <c r="V342" s="21">
        <f t="shared" si="281"/>
        <v>0</v>
      </c>
      <c r="W342" s="21">
        <f t="shared" si="281"/>
        <v>38045.999999999993</v>
      </c>
      <c r="X342" s="21">
        <f t="shared" si="281"/>
        <v>0</v>
      </c>
      <c r="Y342" s="21">
        <f t="shared" si="281"/>
        <v>40489.500000000007</v>
      </c>
      <c r="Z342" s="21">
        <f t="shared" si="281"/>
        <v>0</v>
      </c>
      <c r="AA342" s="21">
        <f t="shared" si="281"/>
        <v>0</v>
      </c>
      <c r="AB342" s="21">
        <f t="shared" si="281"/>
        <v>40489.500000000007</v>
      </c>
      <c r="AC342" s="21">
        <f t="shared" si="281"/>
        <v>0</v>
      </c>
      <c r="AD342" s="21">
        <f t="shared" si="281"/>
        <v>42108.600000000006</v>
      </c>
      <c r="AE342" s="21">
        <f t="shared" si="281"/>
        <v>0</v>
      </c>
      <c r="AF342" s="21">
        <f t="shared" si="281"/>
        <v>0</v>
      </c>
      <c r="AG342" s="21">
        <f t="shared" si="281"/>
        <v>42108.600000000006</v>
      </c>
      <c r="AH342" s="21">
        <f t="shared" si="281"/>
        <v>0</v>
      </c>
      <c r="AI342" s="21">
        <f t="shared" si="281"/>
        <v>42108.600000000006</v>
      </c>
      <c r="AJ342" s="21">
        <f t="shared" si="281"/>
        <v>0</v>
      </c>
      <c r="AK342" s="21">
        <f t="shared" si="281"/>
        <v>0</v>
      </c>
      <c r="AL342" s="21">
        <f t="shared" si="281"/>
        <v>42108.600000000006</v>
      </c>
      <c r="AM342" s="21">
        <f t="shared" si="281"/>
        <v>0</v>
      </c>
    </row>
    <row r="343" spans="1:39" s="2" customFormat="1" ht="31.5" outlineLevel="3" x14ac:dyDescent="0.25">
      <c r="A343" s="8" t="s">
        <v>237</v>
      </c>
      <c r="B343" s="33" t="s">
        <v>66</v>
      </c>
      <c r="C343" s="26" t="s">
        <v>32</v>
      </c>
      <c r="D343" s="26" t="s">
        <v>118</v>
      </c>
      <c r="E343" s="20">
        <f t="shared" ref="E343:E360" si="282">SUM(F343:I343)</f>
        <v>4860.3</v>
      </c>
      <c r="F343" s="38">
        <f t="shared" ref="F343:F360" si="283">K343+P343+U343</f>
        <v>0</v>
      </c>
      <c r="G343" s="38">
        <f>L343+Q343+V343+AA343+AF343+AK343</f>
        <v>0</v>
      </c>
      <c r="H343" s="38">
        <f>M343+R343+W343+AB343+AG343+AL343</f>
        <v>4860.3</v>
      </c>
      <c r="I343" s="38">
        <f t="shared" ref="I343:I360" si="284">N343+S343+X343+AC343+AH343+AM343</f>
        <v>0</v>
      </c>
      <c r="J343" s="18">
        <f t="shared" ref="J343:J360" si="285">SUM(K343:N343)</f>
        <v>743.5</v>
      </c>
      <c r="K343" s="19">
        <v>0</v>
      </c>
      <c r="L343" s="19">
        <v>0</v>
      </c>
      <c r="M343" s="19">
        <f>615.8+127.7</f>
        <v>743.5</v>
      </c>
      <c r="N343" s="19">
        <v>0</v>
      </c>
      <c r="O343" s="18">
        <f t="shared" ref="O343:O360" si="286">SUM(P343:S343)</f>
        <v>784.6</v>
      </c>
      <c r="P343" s="19">
        <v>0</v>
      </c>
      <c r="Q343" s="19">
        <v>0</v>
      </c>
      <c r="R343" s="19">
        <v>784.6</v>
      </c>
      <c r="S343" s="19">
        <v>0</v>
      </c>
      <c r="T343" s="18">
        <f t="shared" ref="T343:T360" si="287">SUM(U343:X343)</f>
        <v>779</v>
      </c>
      <c r="U343" s="19">
        <v>0</v>
      </c>
      <c r="V343" s="19">
        <v>0</v>
      </c>
      <c r="W343" s="109">
        <v>779</v>
      </c>
      <c r="X343" s="19">
        <v>0</v>
      </c>
      <c r="Y343" s="18">
        <f t="shared" ref="Y343:Y360" si="288">SUM(Z343:AC343)</f>
        <v>829</v>
      </c>
      <c r="Z343" s="19">
        <v>0</v>
      </c>
      <c r="AA343" s="19">
        <v>0</v>
      </c>
      <c r="AB343" s="109">
        <v>829</v>
      </c>
      <c r="AC343" s="19">
        <v>0</v>
      </c>
      <c r="AD343" s="18">
        <f t="shared" ref="AD343:AD360" si="289">SUM(AE343:AH343)</f>
        <v>862.1</v>
      </c>
      <c r="AE343" s="19">
        <v>0</v>
      </c>
      <c r="AF343" s="19">
        <v>0</v>
      </c>
      <c r="AG343" s="109">
        <v>862.1</v>
      </c>
      <c r="AH343" s="19">
        <v>0</v>
      </c>
      <c r="AI343" s="18">
        <f t="shared" ref="AI343:AI360" si="290">SUM(AJ343:AM343)</f>
        <v>862.1</v>
      </c>
      <c r="AJ343" s="19">
        <v>0</v>
      </c>
      <c r="AK343" s="19">
        <v>0</v>
      </c>
      <c r="AL343" s="109">
        <v>862.1</v>
      </c>
      <c r="AM343" s="19">
        <v>0</v>
      </c>
    </row>
    <row r="344" spans="1:39" s="2" customFormat="1" ht="31.5" outlineLevel="3" x14ac:dyDescent="0.25">
      <c r="A344" s="8" t="s">
        <v>238</v>
      </c>
      <c r="B344" s="33" t="s">
        <v>59</v>
      </c>
      <c r="C344" s="26" t="s">
        <v>32</v>
      </c>
      <c r="D344" s="26" t="s">
        <v>118</v>
      </c>
      <c r="E344" s="20">
        <f t="shared" si="282"/>
        <v>21711.7</v>
      </c>
      <c r="F344" s="38">
        <f t="shared" si="283"/>
        <v>0</v>
      </c>
      <c r="G344" s="38">
        <f t="shared" ref="G344:G360" si="291">L344+Q344+V344+AA344+AF344+AK344</f>
        <v>0</v>
      </c>
      <c r="H344" s="38">
        <f t="shared" ref="H344:H360" si="292">M344+R344+W344+AB344+AG344+AL344</f>
        <v>21711.7</v>
      </c>
      <c r="I344" s="38">
        <f t="shared" si="284"/>
        <v>0</v>
      </c>
      <c r="J344" s="18">
        <f t="shared" si="285"/>
        <v>2983.8</v>
      </c>
      <c r="K344" s="19">
        <v>0</v>
      </c>
      <c r="L344" s="19">
        <v>0</v>
      </c>
      <c r="M344" s="19">
        <v>2983.8</v>
      </c>
      <c r="N344" s="19">
        <v>0</v>
      </c>
      <c r="O344" s="18">
        <f t="shared" si="286"/>
        <v>3583.6</v>
      </c>
      <c r="P344" s="19">
        <v>0</v>
      </c>
      <c r="Q344" s="19">
        <v>0</v>
      </c>
      <c r="R344" s="19">
        <v>3583.6</v>
      </c>
      <c r="S344" s="19">
        <v>0</v>
      </c>
      <c r="T344" s="18">
        <f t="shared" si="287"/>
        <v>3540.5</v>
      </c>
      <c r="U344" s="19">
        <v>0</v>
      </c>
      <c r="V344" s="19">
        <v>0</v>
      </c>
      <c r="W344" s="109">
        <v>3540.5</v>
      </c>
      <c r="X344" s="19">
        <v>0</v>
      </c>
      <c r="Y344" s="18">
        <f t="shared" si="288"/>
        <v>3767.4</v>
      </c>
      <c r="Z344" s="19">
        <v>0</v>
      </c>
      <c r="AA344" s="19">
        <v>0</v>
      </c>
      <c r="AB344" s="109">
        <v>3767.4</v>
      </c>
      <c r="AC344" s="19">
        <v>0</v>
      </c>
      <c r="AD344" s="18">
        <f t="shared" si="289"/>
        <v>3918.2</v>
      </c>
      <c r="AE344" s="19">
        <v>0</v>
      </c>
      <c r="AF344" s="19">
        <v>0</v>
      </c>
      <c r="AG344" s="109">
        <v>3918.2</v>
      </c>
      <c r="AH344" s="19">
        <v>0</v>
      </c>
      <c r="AI344" s="18">
        <f t="shared" si="290"/>
        <v>3918.2</v>
      </c>
      <c r="AJ344" s="19">
        <v>0</v>
      </c>
      <c r="AK344" s="19">
        <v>0</v>
      </c>
      <c r="AL344" s="109">
        <v>3918.2</v>
      </c>
      <c r="AM344" s="19">
        <v>0</v>
      </c>
    </row>
    <row r="345" spans="1:39" s="2" customFormat="1" ht="31.5" outlineLevel="3" x14ac:dyDescent="0.25">
      <c r="A345" s="8" t="s">
        <v>239</v>
      </c>
      <c r="B345" s="33" t="s">
        <v>22</v>
      </c>
      <c r="C345" s="26" t="s">
        <v>32</v>
      </c>
      <c r="D345" s="26" t="s">
        <v>118</v>
      </c>
      <c r="E345" s="20">
        <f t="shared" si="282"/>
        <v>9535</v>
      </c>
      <c r="F345" s="38">
        <f>K345+P345+U345</f>
        <v>0</v>
      </c>
      <c r="G345" s="38">
        <f t="shared" si="291"/>
        <v>0</v>
      </c>
      <c r="H345" s="38">
        <f t="shared" si="292"/>
        <v>9535</v>
      </c>
      <c r="I345" s="38">
        <f t="shared" si="284"/>
        <v>0</v>
      </c>
      <c r="J345" s="18">
        <f t="shared" si="285"/>
        <v>0</v>
      </c>
      <c r="K345" s="19">
        <v>0</v>
      </c>
      <c r="L345" s="19">
        <v>0</v>
      </c>
      <c r="M345" s="19">
        <v>0</v>
      </c>
      <c r="N345" s="19">
        <v>0</v>
      </c>
      <c r="O345" s="18">
        <f t="shared" si="286"/>
        <v>1681.1</v>
      </c>
      <c r="P345" s="19">
        <v>0</v>
      </c>
      <c r="Q345" s="19">
        <v>0</v>
      </c>
      <c r="R345" s="19">
        <f>2181.1-500</f>
        <v>1681.1</v>
      </c>
      <c r="S345" s="19">
        <v>0</v>
      </c>
      <c r="T345" s="18">
        <f t="shared" si="287"/>
        <v>1818.3</v>
      </c>
      <c r="U345" s="19">
        <v>0</v>
      </c>
      <c r="V345" s="19">
        <v>0</v>
      </c>
      <c r="W345" s="109">
        <v>1818.3</v>
      </c>
      <c r="X345" s="19">
        <v>0</v>
      </c>
      <c r="Y345" s="18">
        <f t="shared" si="288"/>
        <v>1960.4</v>
      </c>
      <c r="Z345" s="19">
        <v>0</v>
      </c>
      <c r="AA345" s="19">
        <v>0</v>
      </c>
      <c r="AB345" s="109">
        <v>1960.4</v>
      </c>
      <c r="AC345" s="19">
        <v>0</v>
      </c>
      <c r="AD345" s="18">
        <f t="shared" si="289"/>
        <v>2037.6</v>
      </c>
      <c r="AE345" s="19">
        <v>0</v>
      </c>
      <c r="AF345" s="19">
        <v>0</v>
      </c>
      <c r="AG345" s="109">
        <v>2037.6</v>
      </c>
      <c r="AH345" s="19">
        <v>0</v>
      </c>
      <c r="AI345" s="18">
        <f t="shared" si="290"/>
        <v>2037.6</v>
      </c>
      <c r="AJ345" s="19">
        <v>0</v>
      </c>
      <c r="AK345" s="19">
        <v>0</v>
      </c>
      <c r="AL345" s="109">
        <v>2037.6</v>
      </c>
      <c r="AM345" s="19">
        <v>0</v>
      </c>
    </row>
    <row r="346" spans="1:39" s="2" customFormat="1" ht="31.5" outlineLevel="3" x14ac:dyDescent="0.25">
      <c r="A346" s="8" t="s">
        <v>240</v>
      </c>
      <c r="B346" s="33" t="s">
        <v>49</v>
      </c>
      <c r="C346" s="26" t="s">
        <v>32</v>
      </c>
      <c r="D346" s="26" t="s">
        <v>118</v>
      </c>
      <c r="E346" s="20">
        <f t="shared" si="282"/>
        <v>33198.899999999994</v>
      </c>
      <c r="F346" s="38">
        <f t="shared" si="283"/>
        <v>0</v>
      </c>
      <c r="G346" s="38">
        <f t="shared" si="291"/>
        <v>0</v>
      </c>
      <c r="H346" s="38">
        <f t="shared" si="292"/>
        <v>33198.899999999994</v>
      </c>
      <c r="I346" s="38">
        <f t="shared" si="284"/>
        <v>0</v>
      </c>
      <c r="J346" s="18">
        <f t="shared" si="285"/>
        <v>4363.2999999999993</v>
      </c>
      <c r="K346" s="19">
        <v>0</v>
      </c>
      <c r="L346" s="19">
        <v>0</v>
      </c>
      <c r="M346" s="19">
        <f>5648.9-1285.6</f>
        <v>4363.2999999999993</v>
      </c>
      <c r="N346" s="19">
        <v>0</v>
      </c>
      <c r="O346" s="18">
        <f t="shared" si="286"/>
        <v>5084.1000000000004</v>
      </c>
      <c r="P346" s="19">
        <v>0</v>
      </c>
      <c r="Q346" s="19">
        <v>0</v>
      </c>
      <c r="R346" s="19">
        <v>5084.1000000000004</v>
      </c>
      <c r="S346" s="19">
        <v>0</v>
      </c>
      <c r="T346" s="18">
        <f t="shared" si="287"/>
        <v>5552.7</v>
      </c>
      <c r="U346" s="19">
        <v>0</v>
      </c>
      <c r="V346" s="19">
        <v>0</v>
      </c>
      <c r="W346" s="19">
        <v>5552.7</v>
      </c>
      <c r="X346" s="19">
        <v>0</v>
      </c>
      <c r="Y346" s="18">
        <f t="shared" si="288"/>
        <v>5908.6</v>
      </c>
      <c r="Z346" s="19">
        <v>0</v>
      </c>
      <c r="AA346" s="19">
        <v>0</v>
      </c>
      <c r="AB346" s="109">
        <v>5908.6</v>
      </c>
      <c r="AC346" s="19">
        <v>0</v>
      </c>
      <c r="AD346" s="18">
        <f t="shared" si="289"/>
        <v>6145.1</v>
      </c>
      <c r="AE346" s="19">
        <v>0</v>
      </c>
      <c r="AF346" s="19">
        <v>0</v>
      </c>
      <c r="AG346" s="109">
        <v>6145.1</v>
      </c>
      <c r="AH346" s="19">
        <v>0</v>
      </c>
      <c r="AI346" s="18">
        <f t="shared" si="290"/>
        <v>6145.1</v>
      </c>
      <c r="AJ346" s="19">
        <v>0</v>
      </c>
      <c r="AK346" s="19">
        <v>0</v>
      </c>
      <c r="AL346" s="109">
        <v>6145.1</v>
      </c>
      <c r="AM346" s="19">
        <v>0</v>
      </c>
    </row>
    <row r="347" spans="1:39" s="2" customFormat="1" ht="31.5" outlineLevel="3" x14ac:dyDescent="0.25">
      <c r="A347" s="8" t="s">
        <v>241</v>
      </c>
      <c r="B347" s="33" t="s">
        <v>50</v>
      </c>
      <c r="C347" s="26" t="s">
        <v>32</v>
      </c>
      <c r="D347" s="26" t="s">
        <v>118</v>
      </c>
      <c r="E347" s="20">
        <f t="shared" si="282"/>
        <v>4853.9000000000005</v>
      </c>
      <c r="F347" s="38">
        <f t="shared" si="283"/>
        <v>0</v>
      </c>
      <c r="G347" s="38">
        <f t="shared" si="291"/>
        <v>0</v>
      </c>
      <c r="H347" s="38">
        <f t="shared" si="292"/>
        <v>4853.9000000000005</v>
      </c>
      <c r="I347" s="38">
        <f t="shared" si="284"/>
        <v>0</v>
      </c>
      <c r="J347" s="18">
        <f t="shared" si="285"/>
        <v>682.90000000000009</v>
      </c>
      <c r="K347" s="19">
        <v>0</v>
      </c>
      <c r="L347" s="19">
        <v>0</v>
      </c>
      <c r="M347" s="19">
        <f>944.2-261.3</f>
        <v>682.90000000000009</v>
      </c>
      <c r="N347" s="19">
        <v>0</v>
      </c>
      <c r="O347" s="18">
        <f t="shared" si="286"/>
        <v>561.70000000000005</v>
      </c>
      <c r="P347" s="19">
        <v>0</v>
      </c>
      <c r="Q347" s="19">
        <v>0</v>
      </c>
      <c r="R347" s="19">
        <f>893.6-244-87.9</f>
        <v>561.70000000000005</v>
      </c>
      <c r="S347" s="19">
        <v>0</v>
      </c>
      <c r="T347" s="18">
        <f t="shared" si="287"/>
        <v>843.8</v>
      </c>
      <c r="U347" s="19">
        <v>0</v>
      </c>
      <c r="V347" s="19">
        <v>0</v>
      </c>
      <c r="W347" s="109">
        <v>843.8</v>
      </c>
      <c r="X347" s="19">
        <v>0</v>
      </c>
      <c r="Y347" s="18">
        <f t="shared" si="288"/>
        <v>897.9</v>
      </c>
      <c r="Z347" s="19">
        <v>0</v>
      </c>
      <c r="AA347" s="19">
        <v>0</v>
      </c>
      <c r="AB347" s="109">
        <v>897.9</v>
      </c>
      <c r="AC347" s="19">
        <v>0</v>
      </c>
      <c r="AD347" s="18">
        <f t="shared" si="289"/>
        <v>933.8</v>
      </c>
      <c r="AE347" s="19">
        <v>0</v>
      </c>
      <c r="AF347" s="19">
        <v>0</v>
      </c>
      <c r="AG347" s="109">
        <v>933.8</v>
      </c>
      <c r="AH347" s="19">
        <v>0</v>
      </c>
      <c r="AI347" s="18">
        <f t="shared" si="290"/>
        <v>933.8</v>
      </c>
      <c r="AJ347" s="19">
        <v>0</v>
      </c>
      <c r="AK347" s="19">
        <v>0</v>
      </c>
      <c r="AL347" s="109">
        <v>933.8</v>
      </c>
      <c r="AM347" s="19">
        <v>0</v>
      </c>
    </row>
    <row r="348" spans="1:39" s="2" customFormat="1" ht="31.5" outlineLevel="3" x14ac:dyDescent="0.25">
      <c r="A348" s="8" t="s">
        <v>242</v>
      </c>
      <c r="B348" s="33" t="s">
        <v>65</v>
      </c>
      <c r="C348" s="26" t="s">
        <v>32</v>
      </c>
      <c r="D348" s="26" t="s">
        <v>118</v>
      </c>
      <c r="E348" s="20">
        <f t="shared" si="282"/>
        <v>4764.2</v>
      </c>
      <c r="F348" s="38">
        <f t="shared" si="283"/>
        <v>0</v>
      </c>
      <c r="G348" s="38">
        <f t="shared" si="291"/>
        <v>0</v>
      </c>
      <c r="H348" s="38">
        <f t="shared" si="292"/>
        <v>4764.2</v>
      </c>
      <c r="I348" s="38">
        <f t="shared" si="284"/>
        <v>0</v>
      </c>
      <c r="J348" s="18">
        <f t="shared" si="285"/>
        <v>874.5</v>
      </c>
      <c r="K348" s="19">
        <v>0</v>
      </c>
      <c r="L348" s="19">
        <v>0</v>
      </c>
      <c r="M348" s="19">
        <v>874.5</v>
      </c>
      <c r="N348" s="19">
        <v>0</v>
      </c>
      <c r="O348" s="18">
        <f t="shared" si="286"/>
        <v>779.5</v>
      </c>
      <c r="P348" s="19">
        <v>0</v>
      </c>
      <c r="Q348" s="19">
        <v>0</v>
      </c>
      <c r="R348" s="19">
        <v>779.5</v>
      </c>
      <c r="S348" s="19">
        <v>0</v>
      </c>
      <c r="T348" s="18">
        <f t="shared" si="287"/>
        <v>727.1</v>
      </c>
      <c r="U348" s="19">
        <v>0</v>
      </c>
      <c r="V348" s="19">
        <v>0</v>
      </c>
      <c r="W348" s="109">
        <v>727.1</v>
      </c>
      <c r="X348" s="19">
        <v>0</v>
      </c>
      <c r="Y348" s="18">
        <f t="shared" si="288"/>
        <v>773.7</v>
      </c>
      <c r="Z348" s="19">
        <v>0</v>
      </c>
      <c r="AA348" s="19">
        <v>0</v>
      </c>
      <c r="AB348" s="109">
        <v>773.7</v>
      </c>
      <c r="AC348" s="19">
        <v>0</v>
      </c>
      <c r="AD348" s="18">
        <f t="shared" si="289"/>
        <v>804.7</v>
      </c>
      <c r="AE348" s="19">
        <v>0</v>
      </c>
      <c r="AF348" s="19">
        <v>0</v>
      </c>
      <c r="AG348" s="109">
        <v>804.7</v>
      </c>
      <c r="AH348" s="19">
        <v>0</v>
      </c>
      <c r="AI348" s="18">
        <f t="shared" si="290"/>
        <v>804.7</v>
      </c>
      <c r="AJ348" s="19">
        <v>0</v>
      </c>
      <c r="AK348" s="19">
        <v>0</v>
      </c>
      <c r="AL348" s="109">
        <v>804.7</v>
      </c>
      <c r="AM348" s="19">
        <v>0</v>
      </c>
    </row>
    <row r="349" spans="1:39" s="2" customFormat="1" ht="31.5" outlineLevel="3" x14ac:dyDescent="0.25">
      <c r="A349" s="8" t="s">
        <v>243</v>
      </c>
      <c r="B349" s="33" t="s">
        <v>51</v>
      </c>
      <c r="C349" s="26" t="s">
        <v>32</v>
      </c>
      <c r="D349" s="26" t="s">
        <v>118</v>
      </c>
      <c r="E349" s="20">
        <f t="shared" si="282"/>
        <v>13890.699999999999</v>
      </c>
      <c r="F349" s="38">
        <f t="shared" si="283"/>
        <v>0</v>
      </c>
      <c r="G349" s="38">
        <f t="shared" si="291"/>
        <v>0</v>
      </c>
      <c r="H349" s="38">
        <f t="shared" si="292"/>
        <v>13890.699999999999</v>
      </c>
      <c r="I349" s="38">
        <f t="shared" si="284"/>
        <v>0</v>
      </c>
      <c r="J349" s="18">
        <f t="shared" si="285"/>
        <v>1683</v>
      </c>
      <c r="K349" s="19">
        <v>0</v>
      </c>
      <c r="L349" s="19">
        <v>0</v>
      </c>
      <c r="M349" s="19">
        <v>1683</v>
      </c>
      <c r="N349" s="19">
        <v>0</v>
      </c>
      <c r="O349" s="18">
        <f t="shared" si="286"/>
        <v>2025.5</v>
      </c>
      <c r="P349" s="19">
        <v>0</v>
      </c>
      <c r="Q349" s="19">
        <v>0</v>
      </c>
      <c r="R349" s="19">
        <v>2025.5</v>
      </c>
      <c r="S349" s="19">
        <v>0</v>
      </c>
      <c r="T349" s="18">
        <f t="shared" si="287"/>
        <v>2380.4</v>
      </c>
      <c r="U349" s="19">
        <v>0</v>
      </c>
      <c r="V349" s="19">
        <v>0</v>
      </c>
      <c r="W349" s="109">
        <v>2380.4</v>
      </c>
      <c r="X349" s="19">
        <v>0</v>
      </c>
      <c r="Y349" s="18">
        <f t="shared" si="288"/>
        <v>2533</v>
      </c>
      <c r="Z349" s="19">
        <v>0</v>
      </c>
      <c r="AA349" s="19">
        <v>0</v>
      </c>
      <c r="AB349" s="109">
        <v>2533</v>
      </c>
      <c r="AC349" s="19">
        <v>0</v>
      </c>
      <c r="AD349" s="18">
        <f t="shared" si="289"/>
        <v>2634.4</v>
      </c>
      <c r="AE349" s="19">
        <v>0</v>
      </c>
      <c r="AF349" s="19">
        <v>0</v>
      </c>
      <c r="AG349" s="109">
        <v>2634.4</v>
      </c>
      <c r="AH349" s="19">
        <v>0</v>
      </c>
      <c r="AI349" s="18">
        <f t="shared" si="290"/>
        <v>2634.4</v>
      </c>
      <c r="AJ349" s="19">
        <v>0</v>
      </c>
      <c r="AK349" s="19">
        <v>0</v>
      </c>
      <c r="AL349" s="109">
        <v>2634.4</v>
      </c>
      <c r="AM349" s="19">
        <v>0</v>
      </c>
    </row>
    <row r="350" spans="1:39" s="2" customFormat="1" ht="31.5" outlineLevel="3" x14ac:dyDescent="0.25">
      <c r="A350" s="8" t="s">
        <v>244</v>
      </c>
      <c r="B350" s="33" t="s">
        <v>52</v>
      </c>
      <c r="C350" s="26" t="s">
        <v>32</v>
      </c>
      <c r="D350" s="26" t="s">
        <v>118</v>
      </c>
      <c r="E350" s="20">
        <f t="shared" si="282"/>
        <v>7740.0999999999995</v>
      </c>
      <c r="F350" s="38">
        <f t="shared" si="283"/>
        <v>0</v>
      </c>
      <c r="G350" s="38">
        <f t="shared" si="291"/>
        <v>0</v>
      </c>
      <c r="H350" s="38">
        <f t="shared" si="292"/>
        <v>7740.0999999999995</v>
      </c>
      <c r="I350" s="38">
        <f t="shared" si="284"/>
        <v>0</v>
      </c>
      <c r="J350" s="18">
        <f t="shared" si="285"/>
        <v>1104.9000000000001</v>
      </c>
      <c r="K350" s="19">
        <v>0</v>
      </c>
      <c r="L350" s="19">
        <v>0</v>
      </c>
      <c r="M350" s="19">
        <v>1104.9000000000001</v>
      </c>
      <c r="N350" s="19">
        <v>0</v>
      </c>
      <c r="O350" s="18">
        <f t="shared" si="286"/>
        <v>1219.4000000000001</v>
      </c>
      <c r="P350" s="19">
        <v>0</v>
      </c>
      <c r="Q350" s="19">
        <v>0</v>
      </c>
      <c r="R350" s="19">
        <v>1219.4000000000001</v>
      </c>
      <c r="S350" s="19">
        <v>0</v>
      </c>
      <c r="T350" s="18">
        <f t="shared" si="287"/>
        <v>1266.0999999999999</v>
      </c>
      <c r="U350" s="19">
        <v>0</v>
      </c>
      <c r="V350" s="19">
        <v>0</v>
      </c>
      <c r="W350" s="109">
        <v>1266.0999999999999</v>
      </c>
      <c r="X350" s="19">
        <v>0</v>
      </c>
      <c r="Y350" s="18">
        <f t="shared" si="288"/>
        <v>1347.3</v>
      </c>
      <c r="Z350" s="19">
        <v>0</v>
      </c>
      <c r="AA350" s="19">
        <v>0</v>
      </c>
      <c r="AB350" s="109">
        <v>1347.3</v>
      </c>
      <c r="AC350" s="19">
        <v>0</v>
      </c>
      <c r="AD350" s="18">
        <f t="shared" si="289"/>
        <v>1401.2</v>
      </c>
      <c r="AE350" s="19">
        <v>0</v>
      </c>
      <c r="AF350" s="19">
        <v>0</v>
      </c>
      <c r="AG350" s="109">
        <v>1401.2</v>
      </c>
      <c r="AH350" s="19">
        <v>0</v>
      </c>
      <c r="AI350" s="18">
        <f t="shared" si="290"/>
        <v>1401.2</v>
      </c>
      <c r="AJ350" s="19">
        <v>0</v>
      </c>
      <c r="AK350" s="19">
        <v>0</v>
      </c>
      <c r="AL350" s="109">
        <v>1401.2</v>
      </c>
      <c r="AM350" s="19">
        <v>0</v>
      </c>
    </row>
    <row r="351" spans="1:39" s="2" customFormat="1" ht="31.5" outlineLevel="3" x14ac:dyDescent="0.25">
      <c r="A351" s="8" t="s">
        <v>245</v>
      </c>
      <c r="B351" s="33" t="s">
        <v>64</v>
      </c>
      <c r="C351" s="26" t="s">
        <v>32</v>
      </c>
      <c r="D351" s="26" t="s">
        <v>118</v>
      </c>
      <c r="E351" s="20">
        <f t="shared" si="282"/>
        <v>27083.599999999999</v>
      </c>
      <c r="F351" s="38">
        <f t="shared" si="283"/>
        <v>0</v>
      </c>
      <c r="G351" s="38">
        <f t="shared" si="291"/>
        <v>0</v>
      </c>
      <c r="H351" s="38">
        <f t="shared" si="292"/>
        <v>27083.599999999999</v>
      </c>
      <c r="I351" s="38">
        <f t="shared" si="284"/>
        <v>0</v>
      </c>
      <c r="J351" s="18">
        <f t="shared" si="285"/>
        <v>3986.6</v>
      </c>
      <c r="K351" s="19">
        <v>0</v>
      </c>
      <c r="L351" s="19">
        <v>0</v>
      </c>
      <c r="M351" s="19">
        <v>3986.6</v>
      </c>
      <c r="N351" s="19">
        <v>0</v>
      </c>
      <c r="O351" s="18">
        <f t="shared" si="286"/>
        <v>3970.1</v>
      </c>
      <c r="P351" s="19">
        <v>0</v>
      </c>
      <c r="Q351" s="19">
        <v>0</v>
      </c>
      <c r="R351" s="19">
        <v>3970.1</v>
      </c>
      <c r="S351" s="19">
        <v>0</v>
      </c>
      <c r="T351" s="18">
        <f t="shared" si="287"/>
        <v>4471.6000000000004</v>
      </c>
      <c r="U351" s="19">
        <v>0</v>
      </c>
      <c r="V351" s="19">
        <v>0</v>
      </c>
      <c r="W351" s="109">
        <v>4471.6000000000004</v>
      </c>
      <c r="X351" s="19">
        <v>0</v>
      </c>
      <c r="Y351" s="18">
        <f t="shared" si="288"/>
        <v>4758.1000000000004</v>
      </c>
      <c r="Z351" s="19">
        <v>0</v>
      </c>
      <c r="AA351" s="19">
        <v>0</v>
      </c>
      <c r="AB351" s="109">
        <v>4758.1000000000004</v>
      </c>
      <c r="AC351" s="19">
        <v>0</v>
      </c>
      <c r="AD351" s="18">
        <f t="shared" si="289"/>
        <v>4948.6000000000004</v>
      </c>
      <c r="AE351" s="19">
        <v>0</v>
      </c>
      <c r="AF351" s="19">
        <v>0</v>
      </c>
      <c r="AG351" s="109">
        <v>4948.6000000000004</v>
      </c>
      <c r="AH351" s="19">
        <v>0</v>
      </c>
      <c r="AI351" s="18">
        <f t="shared" si="290"/>
        <v>4948.6000000000004</v>
      </c>
      <c r="AJ351" s="19">
        <v>0</v>
      </c>
      <c r="AK351" s="19">
        <v>0</v>
      </c>
      <c r="AL351" s="109">
        <v>4948.6000000000004</v>
      </c>
      <c r="AM351" s="19">
        <v>0</v>
      </c>
    </row>
    <row r="352" spans="1:39" s="2" customFormat="1" ht="31.5" outlineLevel="3" x14ac:dyDescent="0.25">
      <c r="A352" s="8" t="s">
        <v>246</v>
      </c>
      <c r="B352" s="33" t="s">
        <v>53</v>
      </c>
      <c r="C352" s="26" t="s">
        <v>32</v>
      </c>
      <c r="D352" s="26" t="s">
        <v>118</v>
      </c>
      <c r="E352" s="20">
        <f t="shared" si="282"/>
        <v>20686.700000000004</v>
      </c>
      <c r="F352" s="38">
        <f t="shared" si="283"/>
        <v>0</v>
      </c>
      <c r="G352" s="38">
        <f t="shared" si="291"/>
        <v>0</v>
      </c>
      <c r="H352" s="38">
        <f t="shared" si="292"/>
        <v>20686.700000000004</v>
      </c>
      <c r="I352" s="38">
        <f t="shared" si="284"/>
        <v>0</v>
      </c>
      <c r="J352" s="18">
        <f t="shared" si="285"/>
        <v>2810.1</v>
      </c>
      <c r="K352" s="19">
        <v>0</v>
      </c>
      <c r="L352" s="19">
        <v>0</v>
      </c>
      <c r="M352" s="19">
        <v>2810.1</v>
      </c>
      <c r="N352" s="19">
        <v>0</v>
      </c>
      <c r="O352" s="18">
        <f t="shared" si="286"/>
        <v>3098.7999999999997</v>
      </c>
      <c r="P352" s="19">
        <v>0</v>
      </c>
      <c r="Q352" s="19">
        <v>0</v>
      </c>
      <c r="R352" s="19">
        <f>2886.7+212.1</f>
        <v>3098.7999999999997</v>
      </c>
      <c r="S352" s="19">
        <v>0</v>
      </c>
      <c r="T352" s="18">
        <f t="shared" si="287"/>
        <v>3454.8</v>
      </c>
      <c r="U352" s="19">
        <v>0</v>
      </c>
      <c r="V352" s="19">
        <v>0</v>
      </c>
      <c r="W352" s="109">
        <v>3454.8</v>
      </c>
      <c r="X352" s="19">
        <v>0</v>
      </c>
      <c r="Y352" s="18">
        <f t="shared" si="288"/>
        <v>3676.2</v>
      </c>
      <c r="Z352" s="19">
        <v>0</v>
      </c>
      <c r="AA352" s="19">
        <v>0</v>
      </c>
      <c r="AB352" s="109">
        <v>3676.2</v>
      </c>
      <c r="AC352" s="19">
        <v>0</v>
      </c>
      <c r="AD352" s="18">
        <f t="shared" si="289"/>
        <v>3823.4</v>
      </c>
      <c r="AE352" s="19">
        <v>0</v>
      </c>
      <c r="AF352" s="19">
        <v>0</v>
      </c>
      <c r="AG352" s="109">
        <v>3823.4</v>
      </c>
      <c r="AH352" s="19">
        <v>0</v>
      </c>
      <c r="AI352" s="18">
        <f t="shared" si="290"/>
        <v>3823.4</v>
      </c>
      <c r="AJ352" s="19">
        <v>0</v>
      </c>
      <c r="AK352" s="19">
        <v>0</v>
      </c>
      <c r="AL352" s="109">
        <v>3823.4</v>
      </c>
      <c r="AM352" s="19">
        <v>0</v>
      </c>
    </row>
    <row r="353" spans="1:39" s="2" customFormat="1" ht="31.5" outlineLevel="3" x14ac:dyDescent="0.25">
      <c r="A353" s="8" t="s">
        <v>247</v>
      </c>
      <c r="B353" s="33" t="s">
        <v>63</v>
      </c>
      <c r="C353" s="26" t="s">
        <v>32</v>
      </c>
      <c r="D353" s="26" t="s">
        <v>118</v>
      </c>
      <c r="E353" s="20">
        <f t="shared" si="282"/>
        <v>3220.5</v>
      </c>
      <c r="F353" s="38">
        <f t="shared" si="283"/>
        <v>0</v>
      </c>
      <c r="G353" s="38">
        <f t="shared" si="291"/>
        <v>0</v>
      </c>
      <c r="H353" s="38">
        <f t="shared" si="292"/>
        <v>3220.5</v>
      </c>
      <c r="I353" s="38">
        <f t="shared" si="284"/>
        <v>0</v>
      </c>
      <c r="J353" s="18">
        <f t="shared" si="285"/>
        <v>357.7</v>
      </c>
      <c r="K353" s="19">
        <v>0</v>
      </c>
      <c r="L353" s="19">
        <v>0</v>
      </c>
      <c r="M353" s="19">
        <f>561.4-203.7</f>
        <v>357.7</v>
      </c>
      <c r="N353" s="19">
        <v>0</v>
      </c>
      <c r="O353" s="18">
        <f t="shared" si="286"/>
        <v>590.9</v>
      </c>
      <c r="P353" s="19">
        <v>0</v>
      </c>
      <c r="Q353" s="19">
        <v>0</v>
      </c>
      <c r="R353" s="19">
        <v>590.9</v>
      </c>
      <c r="S353" s="19">
        <v>0</v>
      </c>
      <c r="T353" s="18">
        <f t="shared" si="287"/>
        <v>531.1</v>
      </c>
      <c r="U353" s="19">
        <v>0</v>
      </c>
      <c r="V353" s="19">
        <v>0</v>
      </c>
      <c r="W353" s="109">
        <v>531.1</v>
      </c>
      <c r="X353" s="19">
        <v>0</v>
      </c>
      <c r="Y353" s="18">
        <f t="shared" si="288"/>
        <v>565.20000000000005</v>
      </c>
      <c r="Z353" s="19">
        <v>0</v>
      </c>
      <c r="AA353" s="19">
        <v>0</v>
      </c>
      <c r="AB353" s="109">
        <v>565.20000000000005</v>
      </c>
      <c r="AC353" s="19">
        <v>0</v>
      </c>
      <c r="AD353" s="18">
        <f t="shared" si="289"/>
        <v>587.79999999999995</v>
      </c>
      <c r="AE353" s="19">
        <v>0</v>
      </c>
      <c r="AF353" s="19">
        <v>0</v>
      </c>
      <c r="AG353" s="109">
        <v>587.79999999999995</v>
      </c>
      <c r="AH353" s="19">
        <v>0</v>
      </c>
      <c r="AI353" s="18">
        <f t="shared" si="290"/>
        <v>587.79999999999995</v>
      </c>
      <c r="AJ353" s="19">
        <v>0</v>
      </c>
      <c r="AK353" s="19">
        <v>0</v>
      </c>
      <c r="AL353" s="109">
        <v>587.79999999999995</v>
      </c>
      <c r="AM353" s="19">
        <v>0</v>
      </c>
    </row>
    <row r="354" spans="1:39" s="2" customFormat="1" ht="31.5" outlineLevel="3" x14ac:dyDescent="0.25">
      <c r="A354" s="8" t="s">
        <v>248</v>
      </c>
      <c r="B354" s="33" t="s">
        <v>62</v>
      </c>
      <c r="C354" s="26" t="s">
        <v>32</v>
      </c>
      <c r="D354" s="26" t="s">
        <v>118</v>
      </c>
      <c r="E354" s="20">
        <f t="shared" si="282"/>
        <v>4808.5</v>
      </c>
      <c r="F354" s="38">
        <f t="shared" si="283"/>
        <v>0</v>
      </c>
      <c r="G354" s="38">
        <f t="shared" si="291"/>
        <v>0</v>
      </c>
      <c r="H354" s="38">
        <f t="shared" si="292"/>
        <v>4808.5</v>
      </c>
      <c r="I354" s="38">
        <f t="shared" si="284"/>
        <v>0</v>
      </c>
      <c r="J354" s="18">
        <f t="shared" si="285"/>
        <v>729.4</v>
      </c>
      <c r="K354" s="19">
        <v>0</v>
      </c>
      <c r="L354" s="19">
        <v>0</v>
      </c>
      <c r="M354" s="19">
        <v>729.4</v>
      </c>
      <c r="N354" s="19">
        <v>0</v>
      </c>
      <c r="O354" s="18">
        <f t="shared" si="286"/>
        <v>778</v>
      </c>
      <c r="P354" s="19">
        <v>0</v>
      </c>
      <c r="Q354" s="19">
        <v>0</v>
      </c>
      <c r="R354" s="19">
        <v>778</v>
      </c>
      <c r="S354" s="19">
        <v>0</v>
      </c>
      <c r="T354" s="18">
        <f t="shared" si="287"/>
        <v>767.3</v>
      </c>
      <c r="U354" s="19">
        <v>0</v>
      </c>
      <c r="V354" s="19">
        <v>0</v>
      </c>
      <c r="W354" s="109">
        <v>767.3</v>
      </c>
      <c r="X354" s="19">
        <v>0</v>
      </c>
      <c r="Y354" s="18">
        <f t="shared" si="288"/>
        <v>822.8</v>
      </c>
      <c r="Z354" s="19">
        <v>0</v>
      </c>
      <c r="AA354" s="19">
        <v>0</v>
      </c>
      <c r="AB354" s="109">
        <v>822.8</v>
      </c>
      <c r="AC354" s="19">
        <v>0</v>
      </c>
      <c r="AD354" s="18">
        <f t="shared" si="289"/>
        <v>855.5</v>
      </c>
      <c r="AE354" s="19">
        <v>0</v>
      </c>
      <c r="AF354" s="19">
        <v>0</v>
      </c>
      <c r="AG354" s="109">
        <v>855.5</v>
      </c>
      <c r="AH354" s="19">
        <v>0</v>
      </c>
      <c r="AI354" s="18">
        <f t="shared" si="290"/>
        <v>855.5</v>
      </c>
      <c r="AJ354" s="19">
        <v>0</v>
      </c>
      <c r="AK354" s="19">
        <v>0</v>
      </c>
      <c r="AL354" s="109">
        <v>855.5</v>
      </c>
      <c r="AM354" s="19">
        <v>0</v>
      </c>
    </row>
    <row r="355" spans="1:39" s="2" customFormat="1" ht="31.5" outlineLevel="3" x14ac:dyDescent="0.25">
      <c r="A355" s="8" t="s">
        <v>249</v>
      </c>
      <c r="B355" s="33" t="s">
        <v>60</v>
      </c>
      <c r="C355" s="26" t="s">
        <v>32</v>
      </c>
      <c r="D355" s="26" t="s">
        <v>118</v>
      </c>
      <c r="E355" s="20">
        <f t="shared" si="282"/>
        <v>24543.799999999996</v>
      </c>
      <c r="F355" s="38">
        <f t="shared" si="283"/>
        <v>0</v>
      </c>
      <c r="G355" s="38">
        <f t="shared" si="291"/>
        <v>0</v>
      </c>
      <c r="H355" s="38">
        <f t="shared" si="292"/>
        <v>24543.799999999996</v>
      </c>
      <c r="I355" s="38">
        <f t="shared" si="284"/>
        <v>0</v>
      </c>
      <c r="J355" s="18">
        <f t="shared" si="285"/>
        <v>3748.4</v>
      </c>
      <c r="K355" s="19">
        <v>0</v>
      </c>
      <c r="L355" s="19">
        <v>0</v>
      </c>
      <c r="M355" s="19">
        <v>3748.4</v>
      </c>
      <c r="N355" s="19">
        <v>0</v>
      </c>
      <c r="O355" s="18">
        <f t="shared" si="286"/>
        <v>3629.3999999999996</v>
      </c>
      <c r="P355" s="19">
        <v>0</v>
      </c>
      <c r="Q355" s="19">
        <v>0</v>
      </c>
      <c r="R355" s="19">
        <f>4079.7-450.3</f>
        <v>3629.3999999999996</v>
      </c>
      <c r="S355" s="19">
        <v>0</v>
      </c>
      <c r="T355" s="18">
        <f t="shared" si="287"/>
        <v>4034.4</v>
      </c>
      <c r="U355" s="19">
        <v>0</v>
      </c>
      <c r="V355" s="19">
        <v>0</v>
      </c>
      <c r="W355" s="109">
        <v>4034.4</v>
      </c>
      <c r="X355" s="19">
        <v>0</v>
      </c>
      <c r="Y355" s="18">
        <f t="shared" si="288"/>
        <v>4263.3999999999996</v>
      </c>
      <c r="Z355" s="19">
        <v>0</v>
      </c>
      <c r="AA355" s="19">
        <v>0</v>
      </c>
      <c r="AB355" s="109">
        <v>4263.3999999999996</v>
      </c>
      <c r="AC355" s="19">
        <v>0</v>
      </c>
      <c r="AD355" s="18">
        <f t="shared" si="289"/>
        <v>4434.1000000000004</v>
      </c>
      <c r="AE355" s="19">
        <v>0</v>
      </c>
      <c r="AF355" s="19">
        <v>0</v>
      </c>
      <c r="AG355" s="109">
        <v>4434.1000000000004</v>
      </c>
      <c r="AH355" s="19">
        <v>0</v>
      </c>
      <c r="AI355" s="18">
        <f t="shared" si="290"/>
        <v>4434.1000000000004</v>
      </c>
      <c r="AJ355" s="19">
        <v>0</v>
      </c>
      <c r="AK355" s="19">
        <v>0</v>
      </c>
      <c r="AL355" s="109">
        <v>4434.1000000000004</v>
      </c>
      <c r="AM355" s="19">
        <v>0</v>
      </c>
    </row>
    <row r="356" spans="1:39" s="2" customFormat="1" ht="31.5" outlineLevel="3" x14ac:dyDescent="0.25">
      <c r="A356" s="8" t="s">
        <v>250</v>
      </c>
      <c r="B356" s="33" t="s">
        <v>61</v>
      </c>
      <c r="C356" s="26" t="s">
        <v>32</v>
      </c>
      <c r="D356" s="26" t="s">
        <v>118</v>
      </c>
      <c r="E356" s="20">
        <f t="shared" si="282"/>
        <v>6640.1</v>
      </c>
      <c r="F356" s="38">
        <f t="shared" si="283"/>
        <v>0</v>
      </c>
      <c r="G356" s="38">
        <f t="shared" si="291"/>
        <v>0</v>
      </c>
      <c r="H356" s="38">
        <f t="shared" si="292"/>
        <v>6640.1</v>
      </c>
      <c r="I356" s="38">
        <f t="shared" si="284"/>
        <v>0</v>
      </c>
      <c r="J356" s="18">
        <f t="shared" si="285"/>
        <v>740.3</v>
      </c>
      <c r="K356" s="19">
        <v>0</v>
      </c>
      <c r="L356" s="19">
        <v>0</v>
      </c>
      <c r="M356" s="19">
        <f>956.4-216.1</f>
        <v>740.3</v>
      </c>
      <c r="N356" s="19">
        <v>0</v>
      </c>
      <c r="O356" s="18">
        <f t="shared" si="286"/>
        <v>975.6</v>
      </c>
      <c r="P356" s="19">
        <v>0</v>
      </c>
      <c r="Q356" s="19">
        <v>0</v>
      </c>
      <c r="R356" s="19">
        <v>975.6</v>
      </c>
      <c r="S356" s="19">
        <v>0</v>
      </c>
      <c r="T356" s="18">
        <f t="shared" si="287"/>
        <v>1149.3</v>
      </c>
      <c r="U356" s="19">
        <v>0</v>
      </c>
      <c r="V356" s="19">
        <v>0</v>
      </c>
      <c r="W356" s="109">
        <v>1149.3</v>
      </c>
      <c r="X356" s="19">
        <v>0</v>
      </c>
      <c r="Y356" s="18">
        <f t="shared" si="288"/>
        <v>1225.7</v>
      </c>
      <c r="Z356" s="19">
        <v>0</v>
      </c>
      <c r="AA356" s="19">
        <v>0</v>
      </c>
      <c r="AB356" s="109">
        <v>1225.7</v>
      </c>
      <c r="AC356" s="19">
        <v>0</v>
      </c>
      <c r="AD356" s="18">
        <f t="shared" si="289"/>
        <v>1274.5999999999999</v>
      </c>
      <c r="AE356" s="19">
        <v>0</v>
      </c>
      <c r="AF356" s="19">
        <v>0</v>
      </c>
      <c r="AG356" s="109">
        <v>1274.5999999999999</v>
      </c>
      <c r="AH356" s="19">
        <v>0</v>
      </c>
      <c r="AI356" s="18">
        <f t="shared" si="290"/>
        <v>1274.5999999999999</v>
      </c>
      <c r="AJ356" s="19">
        <v>0</v>
      </c>
      <c r="AK356" s="19">
        <v>0</v>
      </c>
      <c r="AL356" s="109">
        <v>1274.5999999999999</v>
      </c>
      <c r="AM356" s="19">
        <v>0</v>
      </c>
    </row>
    <row r="357" spans="1:39" s="2" customFormat="1" ht="31.5" outlineLevel="3" x14ac:dyDescent="0.25">
      <c r="A357" s="8" t="s">
        <v>251</v>
      </c>
      <c r="B357" s="33" t="s">
        <v>54</v>
      </c>
      <c r="C357" s="26" t="s">
        <v>32</v>
      </c>
      <c r="D357" s="26" t="s">
        <v>118</v>
      </c>
      <c r="E357" s="20">
        <f t="shared" si="282"/>
        <v>14335.1</v>
      </c>
      <c r="F357" s="38">
        <f t="shared" si="283"/>
        <v>0</v>
      </c>
      <c r="G357" s="38">
        <f t="shared" si="291"/>
        <v>0</v>
      </c>
      <c r="H357" s="38">
        <f t="shared" si="292"/>
        <v>14335.1</v>
      </c>
      <c r="I357" s="38">
        <f t="shared" si="284"/>
        <v>0</v>
      </c>
      <c r="J357" s="18">
        <f t="shared" si="285"/>
        <v>2029.5</v>
      </c>
      <c r="K357" s="19">
        <v>0</v>
      </c>
      <c r="L357" s="19">
        <v>0</v>
      </c>
      <c r="M357" s="19">
        <v>2029.5</v>
      </c>
      <c r="N357" s="19">
        <v>0</v>
      </c>
      <c r="O357" s="18">
        <f t="shared" si="286"/>
        <v>1993.1</v>
      </c>
      <c r="P357" s="19">
        <v>0</v>
      </c>
      <c r="Q357" s="19">
        <v>0</v>
      </c>
      <c r="R357" s="19">
        <v>1993.1</v>
      </c>
      <c r="S357" s="19">
        <v>0</v>
      </c>
      <c r="T357" s="18">
        <f t="shared" si="287"/>
        <v>2410.9</v>
      </c>
      <c r="U357" s="19">
        <v>0</v>
      </c>
      <c r="V357" s="19">
        <v>0</v>
      </c>
      <c r="W357" s="109">
        <v>2410.9</v>
      </c>
      <c r="X357" s="19">
        <v>0</v>
      </c>
      <c r="Y357" s="18">
        <f t="shared" si="288"/>
        <v>2565.4</v>
      </c>
      <c r="Z357" s="19">
        <v>0</v>
      </c>
      <c r="AA357" s="19">
        <v>0</v>
      </c>
      <c r="AB357" s="109">
        <v>2565.4</v>
      </c>
      <c r="AC357" s="19">
        <v>0</v>
      </c>
      <c r="AD357" s="18">
        <f t="shared" si="289"/>
        <v>2668.1</v>
      </c>
      <c r="AE357" s="19">
        <v>0</v>
      </c>
      <c r="AF357" s="19">
        <v>0</v>
      </c>
      <c r="AG357" s="109">
        <v>2668.1</v>
      </c>
      <c r="AH357" s="19">
        <v>0</v>
      </c>
      <c r="AI357" s="18">
        <f t="shared" si="290"/>
        <v>2668.1</v>
      </c>
      <c r="AJ357" s="19">
        <v>0</v>
      </c>
      <c r="AK357" s="19">
        <v>0</v>
      </c>
      <c r="AL357" s="109">
        <v>2668.1</v>
      </c>
      <c r="AM357" s="19">
        <v>0</v>
      </c>
    </row>
    <row r="358" spans="1:39" s="2" customFormat="1" ht="31.5" outlineLevel="3" x14ac:dyDescent="0.25">
      <c r="A358" s="8" t="s">
        <v>252</v>
      </c>
      <c r="B358" s="33" t="s">
        <v>56</v>
      </c>
      <c r="C358" s="26" t="s">
        <v>32</v>
      </c>
      <c r="D358" s="26" t="s">
        <v>118</v>
      </c>
      <c r="E358" s="20">
        <f t="shared" si="282"/>
        <v>8431.6</v>
      </c>
      <c r="F358" s="38">
        <f t="shared" si="283"/>
        <v>0</v>
      </c>
      <c r="G358" s="38">
        <f t="shared" si="291"/>
        <v>0</v>
      </c>
      <c r="H358" s="38">
        <f t="shared" si="292"/>
        <v>8431.6</v>
      </c>
      <c r="I358" s="38">
        <f t="shared" si="284"/>
        <v>0</v>
      </c>
      <c r="J358" s="18">
        <f t="shared" si="285"/>
        <v>1289</v>
      </c>
      <c r="K358" s="19">
        <v>0</v>
      </c>
      <c r="L358" s="19">
        <v>0</v>
      </c>
      <c r="M358" s="19">
        <v>1289</v>
      </c>
      <c r="N358" s="19">
        <v>0</v>
      </c>
      <c r="O358" s="18">
        <f t="shared" si="286"/>
        <v>1155.9000000000001</v>
      </c>
      <c r="P358" s="19">
        <v>0</v>
      </c>
      <c r="Q358" s="19">
        <v>0</v>
      </c>
      <c r="R358" s="19">
        <v>1155.9000000000001</v>
      </c>
      <c r="S358" s="19">
        <v>0</v>
      </c>
      <c r="T358" s="18">
        <f t="shared" si="287"/>
        <v>1399.6</v>
      </c>
      <c r="U358" s="19">
        <v>0</v>
      </c>
      <c r="V358" s="19">
        <v>0</v>
      </c>
      <c r="W358" s="109">
        <v>1399.6</v>
      </c>
      <c r="X358" s="19">
        <v>0</v>
      </c>
      <c r="Y358" s="18">
        <f t="shared" si="288"/>
        <v>1489.3</v>
      </c>
      <c r="Z358" s="19">
        <v>0</v>
      </c>
      <c r="AA358" s="19">
        <v>0</v>
      </c>
      <c r="AB358" s="109">
        <v>1489.3</v>
      </c>
      <c r="AC358" s="19">
        <v>0</v>
      </c>
      <c r="AD358" s="18">
        <f t="shared" si="289"/>
        <v>1548.9</v>
      </c>
      <c r="AE358" s="19">
        <v>0</v>
      </c>
      <c r="AF358" s="19">
        <v>0</v>
      </c>
      <c r="AG358" s="109">
        <v>1548.9</v>
      </c>
      <c r="AH358" s="19">
        <v>0</v>
      </c>
      <c r="AI358" s="18">
        <f t="shared" si="290"/>
        <v>1548.9</v>
      </c>
      <c r="AJ358" s="19">
        <v>0</v>
      </c>
      <c r="AK358" s="19">
        <v>0</v>
      </c>
      <c r="AL358" s="109">
        <v>1548.9</v>
      </c>
      <c r="AM358" s="19">
        <v>0</v>
      </c>
    </row>
    <row r="359" spans="1:39" s="2" customFormat="1" ht="31.5" outlineLevel="3" x14ac:dyDescent="0.25">
      <c r="A359" s="8" t="s">
        <v>253</v>
      </c>
      <c r="B359" s="33" t="s">
        <v>57</v>
      </c>
      <c r="C359" s="26" t="s">
        <v>32</v>
      </c>
      <c r="D359" s="26" t="s">
        <v>118</v>
      </c>
      <c r="E359" s="20">
        <f t="shared" si="282"/>
        <v>4365.4000000000005</v>
      </c>
      <c r="F359" s="38">
        <f t="shared" si="283"/>
        <v>0</v>
      </c>
      <c r="G359" s="38">
        <f t="shared" si="291"/>
        <v>0</v>
      </c>
      <c r="H359" s="38">
        <f t="shared" si="292"/>
        <v>4365.4000000000005</v>
      </c>
      <c r="I359" s="38">
        <f t="shared" si="284"/>
        <v>0</v>
      </c>
      <c r="J359" s="18">
        <f t="shared" si="285"/>
        <v>596.5</v>
      </c>
      <c r="K359" s="19">
        <v>0</v>
      </c>
      <c r="L359" s="19">
        <v>0</v>
      </c>
      <c r="M359" s="19">
        <v>596.5</v>
      </c>
      <c r="N359" s="19">
        <v>0</v>
      </c>
      <c r="O359" s="18">
        <f t="shared" si="286"/>
        <v>648.20000000000005</v>
      </c>
      <c r="P359" s="19">
        <v>0</v>
      </c>
      <c r="Q359" s="19">
        <v>0</v>
      </c>
      <c r="R359" s="19">
        <v>648.20000000000005</v>
      </c>
      <c r="S359" s="19">
        <v>0</v>
      </c>
      <c r="T359" s="18">
        <f t="shared" si="287"/>
        <v>729.6</v>
      </c>
      <c r="U359" s="19">
        <v>0</v>
      </c>
      <c r="V359" s="19">
        <v>0</v>
      </c>
      <c r="W359" s="109">
        <v>729.6</v>
      </c>
      <c r="X359" s="19">
        <v>0</v>
      </c>
      <c r="Y359" s="18">
        <f t="shared" si="288"/>
        <v>776.3</v>
      </c>
      <c r="Z359" s="19">
        <v>0</v>
      </c>
      <c r="AA359" s="19">
        <v>0</v>
      </c>
      <c r="AB359" s="109">
        <v>776.3</v>
      </c>
      <c r="AC359" s="19">
        <v>0</v>
      </c>
      <c r="AD359" s="18">
        <f t="shared" si="289"/>
        <v>807.4</v>
      </c>
      <c r="AE359" s="19">
        <v>0</v>
      </c>
      <c r="AF359" s="19">
        <v>0</v>
      </c>
      <c r="AG359" s="109">
        <v>807.4</v>
      </c>
      <c r="AH359" s="19">
        <v>0</v>
      </c>
      <c r="AI359" s="18">
        <f t="shared" si="290"/>
        <v>807.4</v>
      </c>
      <c r="AJ359" s="19">
        <v>0</v>
      </c>
      <c r="AK359" s="19">
        <v>0</v>
      </c>
      <c r="AL359" s="109">
        <v>807.4</v>
      </c>
      <c r="AM359" s="19">
        <v>0</v>
      </c>
    </row>
    <row r="360" spans="1:39" s="2" customFormat="1" ht="31.5" outlineLevel="3" x14ac:dyDescent="0.25">
      <c r="A360" s="8" t="s">
        <v>421</v>
      </c>
      <c r="B360" s="33" t="s">
        <v>58</v>
      </c>
      <c r="C360" s="26" t="s">
        <v>32</v>
      </c>
      <c r="D360" s="26" t="s">
        <v>118</v>
      </c>
      <c r="E360" s="20">
        <f t="shared" si="282"/>
        <v>13105.300000000001</v>
      </c>
      <c r="F360" s="38">
        <f t="shared" si="283"/>
        <v>0</v>
      </c>
      <c r="G360" s="38">
        <f t="shared" si="291"/>
        <v>0</v>
      </c>
      <c r="H360" s="38">
        <f t="shared" si="292"/>
        <v>13105.300000000001</v>
      </c>
      <c r="I360" s="38">
        <f t="shared" si="284"/>
        <v>0</v>
      </c>
      <c r="J360" s="18">
        <f t="shared" si="285"/>
        <v>1809.9</v>
      </c>
      <c r="K360" s="19">
        <v>0</v>
      </c>
      <c r="L360" s="19">
        <v>0</v>
      </c>
      <c r="M360" s="19">
        <v>1809.9</v>
      </c>
      <c r="N360" s="19">
        <v>0</v>
      </c>
      <c r="O360" s="18">
        <f t="shared" si="286"/>
        <v>1929.9</v>
      </c>
      <c r="P360" s="19">
        <v>0</v>
      </c>
      <c r="Q360" s="19">
        <v>0</v>
      </c>
      <c r="R360" s="19">
        <v>1929.9</v>
      </c>
      <c r="S360" s="19">
        <v>0</v>
      </c>
      <c r="T360" s="18">
        <f t="shared" si="287"/>
        <v>2189.5</v>
      </c>
      <c r="U360" s="19">
        <v>0</v>
      </c>
      <c r="V360" s="19">
        <v>0</v>
      </c>
      <c r="W360" s="109">
        <v>2189.5</v>
      </c>
      <c r="X360" s="19">
        <v>0</v>
      </c>
      <c r="Y360" s="18">
        <f t="shared" si="288"/>
        <v>2329.8000000000002</v>
      </c>
      <c r="Z360" s="19">
        <v>0</v>
      </c>
      <c r="AA360" s="19">
        <v>0</v>
      </c>
      <c r="AB360" s="109">
        <v>2329.8000000000002</v>
      </c>
      <c r="AC360" s="19">
        <v>0</v>
      </c>
      <c r="AD360" s="18">
        <f t="shared" si="289"/>
        <v>2423.1</v>
      </c>
      <c r="AE360" s="19">
        <v>0</v>
      </c>
      <c r="AF360" s="19">
        <v>0</v>
      </c>
      <c r="AG360" s="109">
        <v>2423.1</v>
      </c>
      <c r="AH360" s="19">
        <v>0</v>
      </c>
      <c r="AI360" s="18">
        <f t="shared" si="290"/>
        <v>2423.1</v>
      </c>
      <c r="AJ360" s="19">
        <v>0</v>
      </c>
      <c r="AK360" s="19">
        <v>0</v>
      </c>
      <c r="AL360" s="109">
        <v>2423.1</v>
      </c>
      <c r="AM360" s="19">
        <v>0</v>
      </c>
    </row>
    <row r="361" spans="1:39" s="2" customFormat="1" ht="39.75" customHeight="1" outlineLevel="2" x14ac:dyDescent="0.25">
      <c r="A361" s="138" t="s">
        <v>30</v>
      </c>
      <c r="B361" s="180" t="s">
        <v>576</v>
      </c>
      <c r="C361" s="180"/>
      <c r="D361" s="181"/>
      <c r="E361" s="20">
        <f>SUM(E362:E366)</f>
        <v>3949.9</v>
      </c>
      <c r="F361" s="20">
        <f t="shared" ref="F361:AM361" si="293">SUM(F362:F366)</f>
        <v>0</v>
      </c>
      <c r="G361" s="20">
        <f t="shared" si="293"/>
        <v>0</v>
      </c>
      <c r="H361" s="20">
        <f t="shared" si="293"/>
        <v>3949.9</v>
      </c>
      <c r="I361" s="20">
        <f t="shared" si="293"/>
        <v>0</v>
      </c>
      <c r="J361" s="20">
        <f>SUM(J362:J366)</f>
        <v>788.90000000000009</v>
      </c>
      <c r="K361" s="20">
        <f t="shared" si="293"/>
        <v>0</v>
      </c>
      <c r="L361" s="20">
        <f t="shared" si="293"/>
        <v>0</v>
      </c>
      <c r="M361" s="20">
        <f t="shared" si="293"/>
        <v>788.90000000000009</v>
      </c>
      <c r="N361" s="20">
        <f t="shared" si="293"/>
        <v>0</v>
      </c>
      <c r="O361" s="20">
        <f t="shared" si="293"/>
        <v>244</v>
      </c>
      <c r="P361" s="20">
        <f t="shared" si="293"/>
        <v>0</v>
      </c>
      <c r="Q361" s="20">
        <f t="shared" si="293"/>
        <v>0</v>
      </c>
      <c r="R361" s="20">
        <f t="shared" si="293"/>
        <v>244</v>
      </c>
      <c r="S361" s="20">
        <f t="shared" si="293"/>
        <v>0</v>
      </c>
      <c r="T361" s="20">
        <f t="shared" si="293"/>
        <v>2917</v>
      </c>
      <c r="U361" s="20">
        <f t="shared" si="293"/>
        <v>0</v>
      </c>
      <c r="V361" s="20">
        <f t="shared" si="293"/>
        <v>0</v>
      </c>
      <c r="W361" s="20">
        <f t="shared" si="293"/>
        <v>2917</v>
      </c>
      <c r="X361" s="20">
        <f t="shared" si="293"/>
        <v>0</v>
      </c>
      <c r="Y361" s="20">
        <f t="shared" si="293"/>
        <v>0</v>
      </c>
      <c r="Z361" s="20">
        <f t="shared" si="293"/>
        <v>0</v>
      </c>
      <c r="AA361" s="20">
        <f t="shared" si="293"/>
        <v>0</v>
      </c>
      <c r="AB361" s="20">
        <f t="shared" si="293"/>
        <v>0</v>
      </c>
      <c r="AC361" s="20">
        <f t="shared" si="293"/>
        <v>0</v>
      </c>
      <c r="AD361" s="20">
        <f t="shared" si="293"/>
        <v>0</v>
      </c>
      <c r="AE361" s="20">
        <f t="shared" si="293"/>
        <v>0</v>
      </c>
      <c r="AF361" s="20">
        <f t="shared" si="293"/>
        <v>0</v>
      </c>
      <c r="AG361" s="20">
        <f t="shared" si="293"/>
        <v>0</v>
      </c>
      <c r="AH361" s="20">
        <f t="shared" si="293"/>
        <v>0</v>
      </c>
      <c r="AI361" s="20">
        <f t="shared" si="293"/>
        <v>0</v>
      </c>
      <c r="AJ361" s="20">
        <f t="shared" si="293"/>
        <v>0</v>
      </c>
      <c r="AK361" s="20">
        <f t="shared" si="293"/>
        <v>0</v>
      </c>
      <c r="AL361" s="20">
        <f t="shared" si="293"/>
        <v>0</v>
      </c>
      <c r="AM361" s="20">
        <f t="shared" si="293"/>
        <v>0</v>
      </c>
    </row>
    <row r="362" spans="1:39" s="2" customFormat="1" ht="47.25" outlineLevel="3" x14ac:dyDescent="0.25">
      <c r="A362" s="8" t="s">
        <v>306</v>
      </c>
      <c r="B362" s="33" t="s">
        <v>276</v>
      </c>
      <c r="C362" s="26" t="s">
        <v>31</v>
      </c>
      <c r="D362" s="26" t="s">
        <v>118</v>
      </c>
      <c r="E362" s="20">
        <f>SUM(F362:I362)</f>
        <v>495.6</v>
      </c>
      <c r="F362" s="20">
        <f>K362</f>
        <v>0</v>
      </c>
      <c r="G362" s="38">
        <f t="shared" ref="G362:H364" si="294">L362+Q362+V362+AA362+AF362+AK362</f>
        <v>0</v>
      </c>
      <c r="H362" s="38">
        <f t="shared" si="294"/>
        <v>495.6</v>
      </c>
      <c r="I362" s="38">
        <f>N362+S362+X362+AC362+AH362+AM362</f>
        <v>0</v>
      </c>
      <c r="J362" s="18">
        <f>SUM(K362:N362)</f>
        <v>495.6</v>
      </c>
      <c r="K362" s="19">
        <v>0</v>
      </c>
      <c r="L362" s="19">
        <v>0</v>
      </c>
      <c r="M362" s="19">
        <v>495.6</v>
      </c>
      <c r="N362" s="19">
        <v>0</v>
      </c>
      <c r="O362" s="18">
        <f>SUM(P362:S362)</f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0</v>
      </c>
      <c r="W362" s="19">
        <v>0</v>
      </c>
      <c r="X362" s="19">
        <v>0</v>
      </c>
      <c r="Y362" s="18">
        <f>SUM(Z362:AC362)</f>
        <v>0</v>
      </c>
      <c r="Z362" s="19">
        <v>0</v>
      </c>
      <c r="AA362" s="19">
        <v>0</v>
      </c>
      <c r="AB362" s="19">
        <v>0</v>
      </c>
      <c r="AC362" s="19">
        <v>0</v>
      </c>
      <c r="AD362" s="18">
        <f>SUM(AE362:AH362)</f>
        <v>0</v>
      </c>
      <c r="AE362" s="19">
        <v>0</v>
      </c>
      <c r="AF362" s="19">
        <v>0</v>
      </c>
      <c r="AG362" s="19">
        <v>0</v>
      </c>
      <c r="AH362" s="19">
        <v>0</v>
      </c>
      <c r="AI362" s="18">
        <f>SUM(AJ362:AM362)</f>
        <v>0</v>
      </c>
      <c r="AJ362" s="19">
        <v>0</v>
      </c>
      <c r="AK362" s="19">
        <v>0</v>
      </c>
      <c r="AL362" s="19">
        <v>0</v>
      </c>
      <c r="AM362" s="19">
        <v>0</v>
      </c>
    </row>
    <row r="363" spans="1:39" s="2" customFormat="1" ht="63" outlineLevel="3" x14ac:dyDescent="0.25">
      <c r="A363" s="8" t="s">
        <v>395</v>
      </c>
      <c r="B363" s="33" t="s">
        <v>394</v>
      </c>
      <c r="C363" s="26" t="s">
        <v>32</v>
      </c>
      <c r="D363" s="26" t="s">
        <v>118</v>
      </c>
      <c r="E363" s="20">
        <f>SUM(F363:I363)</f>
        <v>293.3</v>
      </c>
      <c r="F363" s="20">
        <f>K363</f>
        <v>0</v>
      </c>
      <c r="G363" s="38">
        <f t="shared" si="294"/>
        <v>0</v>
      </c>
      <c r="H363" s="38">
        <f t="shared" si="294"/>
        <v>293.3</v>
      </c>
      <c r="I363" s="38">
        <f>N363+S363+X363+AC363+AH363+AM363</f>
        <v>0</v>
      </c>
      <c r="J363" s="18">
        <f>SUM(K363:N363)</f>
        <v>293.3</v>
      </c>
      <c r="K363" s="19">
        <v>0</v>
      </c>
      <c r="L363" s="19">
        <v>0</v>
      </c>
      <c r="M363" s="19">
        <v>293.3</v>
      </c>
      <c r="N363" s="19">
        <v>0</v>
      </c>
      <c r="O363" s="18">
        <f>SUM(P363:S363)</f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19">
        <v>0</v>
      </c>
      <c r="V363" s="19">
        <v>0</v>
      </c>
      <c r="W363" s="19">
        <v>0</v>
      </c>
      <c r="X363" s="19">
        <v>0</v>
      </c>
      <c r="Y363" s="18">
        <f>SUM(Z363:AC363)</f>
        <v>0</v>
      </c>
      <c r="Z363" s="19">
        <v>0</v>
      </c>
      <c r="AA363" s="19">
        <v>0</v>
      </c>
      <c r="AB363" s="19">
        <v>0</v>
      </c>
      <c r="AC363" s="19">
        <v>0</v>
      </c>
      <c r="AD363" s="18">
        <f>SUM(AE363:AH363)</f>
        <v>0</v>
      </c>
      <c r="AE363" s="19">
        <v>0</v>
      </c>
      <c r="AF363" s="19">
        <v>0</v>
      </c>
      <c r="AG363" s="19">
        <v>0</v>
      </c>
      <c r="AH363" s="19">
        <v>0</v>
      </c>
      <c r="AI363" s="18">
        <f>SUM(AJ363:AM363)</f>
        <v>0</v>
      </c>
      <c r="AJ363" s="19">
        <v>0</v>
      </c>
      <c r="AK363" s="19">
        <v>0</v>
      </c>
      <c r="AL363" s="19">
        <v>0</v>
      </c>
      <c r="AM363" s="19">
        <v>0</v>
      </c>
    </row>
    <row r="364" spans="1:39" s="2" customFormat="1" ht="31.5" outlineLevel="3" x14ac:dyDescent="0.25">
      <c r="A364" s="8" t="s">
        <v>713</v>
      </c>
      <c r="B364" s="33" t="s">
        <v>575</v>
      </c>
      <c r="C364" s="26" t="s">
        <v>32</v>
      </c>
      <c r="D364" s="26" t="s">
        <v>118</v>
      </c>
      <c r="E364" s="20">
        <f>SUM(F364:I364)</f>
        <v>244</v>
      </c>
      <c r="F364" s="20">
        <f>K364</f>
        <v>0</v>
      </c>
      <c r="G364" s="38">
        <f t="shared" si="294"/>
        <v>0</v>
      </c>
      <c r="H364" s="38">
        <f t="shared" si="294"/>
        <v>244</v>
      </c>
      <c r="I364" s="38">
        <f>N364+S364+X364+AC364+AH364+AM364</f>
        <v>0</v>
      </c>
      <c r="J364" s="18">
        <f>SUM(K364:N364)</f>
        <v>0</v>
      </c>
      <c r="K364" s="19">
        <v>0</v>
      </c>
      <c r="L364" s="19">
        <v>0</v>
      </c>
      <c r="M364" s="19">
        <v>0</v>
      </c>
      <c r="N364" s="19">
        <v>0</v>
      </c>
      <c r="O364" s="18">
        <f>SUM(P364:S364)</f>
        <v>244</v>
      </c>
      <c r="P364" s="19">
        <v>0</v>
      </c>
      <c r="Q364" s="19">
        <v>0</v>
      </c>
      <c r="R364" s="19">
        <v>244</v>
      </c>
      <c r="S364" s="19">
        <v>0</v>
      </c>
      <c r="T364" s="19">
        <v>0</v>
      </c>
      <c r="U364" s="19">
        <v>0</v>
      </c>
      <c r="V364" s="19">
        <v>0</v>
      </c>
      <c r="W364" s="19">
        <v>0</v>
      </c>
      <c r="X364" s="19">
        <v>0</v>
      </c>
      <c r="Y364" s="18">
        <f>SUM(Z364:AC364)</f>
        <v>0</v>
      </c>
      <c r="Z364" s="19">
        <v>0</v>
      </c>
      <c r="AA364" s="19">
        <v>0</v>
      </c>
      <c r="AB364" s="19">
        <v>0</v>
      </c>
      <c r="AC364" s="19">
        <v>0</v>
      </c>
      <c r="AD364" s="18">
        <f>SUM(AE364:AH364)</f>
        <v>0</v>
      </c>
      <c r="AE364" s="19">
        <v>0</v>
      </c>
      <c r="AF364" s="19">
        <v>0</v>
      </c>
      <c r="AG364" s="19">
        <v>0</v>
      </c>
      <c r="AH364" s="19">
        <v>0</v>
      </c>
      <c r="AI364" s="18">
        <f>SUM(AJ364:AM364)</f>
        <v>0</v>
      </c>
      <c r="AJ364" s="19">
        <v>0</v>
      </c>
      <c r="AK364" s="19">
        <v>0</v>
      </c>
      <c r="AL364" s="19">
        <v>0</v>
      </c>
      <c r="AM364" s="19">
        <v>0</v>
      </c>
    </row>
    <row r="365" spans="1:39" s="2" customFormat="1" ht="47.25" outlineLevel="2" x14ac:dyDescent="0.25">
      <c r="A365" s="8" t="s">
        <v>908</v>
      </c>
      <c r="B365" s="54" t="s">
        <v>855</v>
      </c>
      <c r="C365" s="26" t="s">
        <v>32</v>
      </c>
      <c r="D365" s="26" t="s">
        <v>118</v>
      </c>
      <c r="E365" s="20">
        <f>SUM(F365:I365)</f>
        <v>1500</v>
      </c>
      <c r="F365" s="38">
        <f>K365+P365+U365</f>
        <v>0</v>
      </c>
      <c r="G365" s="38">
        <f>L365+Q365+V365+AA365+AF365+AK365</f>
        <v>0</v>
      </c>
      <c r="H365" s="38">
        <f>M365+R365+W365+AB365+AG365+AL365</f>
        <v>1500</v>
      </c>
      <c r="I365" s="38">
        <f>N365+S365+X365+AC365+AH365+AM365</f>
        <v>0</v>
      </c>
      <c r="J365" s="18">
        <f>SUM(K365:N365)</f>
        <v>0</v>
      </c>
      <c r="K365" s="19">
        <v>0</v>
      </c>
      <c r="L365" s="19">
        <v>0</v>
      </c>
      <c r="M365" s="19">
        <v>0</v>
      </c>
      <c r="N365" s="19">
        <v>0</v>
      </c>
      <c r="O365" s="18">
        <f>Q365+R365+S365</f>
        <v>0</v>
      </c>
      <c r="P365" s="19"/>
      <c r="Q365" s="19">
        <v>0</v>
      </c>
      <c r="R365" s="19">
        <v>0</v>
      </c>
      <c r="S365" s="19">
        <v>0</v>
      </c>
      <c r="T365" s="18">
        <f>SUM(U365:X365)</f>
        <v>1500</v>
      </c>
      <c r="U365" s="19"/>
      <c r="V365" s="19"/>
      <c r="W365" s="19">
        <v>1500</v>
      </c>
      <c r="X365" s="19"/>
      <c r="Y365" s="18"/>
      <c r="Z365" s="19"/>
      <c r="AA365" s="19"/>
      <c r="AB365" s="19"/>
      <c r="AC365" s="19"/>
      <c r="AD365" s="18"/>
      <c r="AE365" s="19"/>
      <c r="AF365" s="19"/>
      <c r="AG365" s="19"/>
      <c r="AH365" s="19"/>
      <c r="AI365" s="18"/>
      <c r="AJ365" s="19"/>
      <c r="AK365" s="19"/>
      <c r="AL365" s="19"/>
      <c r="AM365" s="19"/>
    </row>
    <row r="366" spans="1:39" s="2" customFormat="1" ht="63" outlineLevel="2" x14ac:dyDescent="0.25">
      <c r="A366" s="8" t="s">
        <v>1003</v>
      </c>
      <c r="B366" s="54" t="s">
        <v>1010</v>
      </c>
      <c r="C366" s="26" t="s">
        <v>32</v>
      </c>
      <c r="D366" s="26" t="s">
        <v>118</v>
      </c>
      <c r="E366" s="20">
        <f>SUM(F366:I366)</f>
        <v>1417</v>
      </c>
      <c r="F366" s="38">
        <f>K366+P366+U366</f>
        <v>0</v>
      </c>
      <c r="G366" s="38">
        <f>L366+Q366+V366+AA366+AF366+AK366</f>
        <v>0</v>
      </c>
      <c r="H366" s="38">
        <f>M366+R366+W366+AB366+AG366+AL366</f>
        <v>1417</v>
      </c>
      <c r="I366" s="38">
        <f>N366+S366+X366+AC366+AH366+AM366</f>
        <v>0</v>
      </c>
      <c r="J366" s="18">
        <f>SUM(K366:N366)</f>
        <v>0</v>
      </c>
      <c r="K366" s="19">
        <v>0</v>
      </c>
      <c r="L366" s="19">
        <v>0</v>
      </c>
      <c r="M366" s="19">
        <v>0</v>
      </c>
      <c r="N366" s="19">
        <v>0</v>
      </c>
      <c r="O366" s="18">
        <f>Q366+R366+S366</f>
        <v>0</v>
      </c>
      <c r="P366" s="19"/>
      <c r="Q366" s="19">
        <v>0</v>
      </c>
      <c r="R366" s="19">
        <v>0</v>
      </c>
      <c r="S366" s="19">
        <v>0</v>
      </c>
      <c r="T366" s="18">
        <f>SUM(U366:X366)</f>
        <v>1417</v>
      </c>
      <c r="U366" s="19"/>
      <c r="V366" s="19"/>
      <c r="W366" s="19">
        <v>1417</v>
      </c>
      <c r="X366" s="19"/>
      <c r="Y366" s="18"/>
      <c r="Z366" s="19"/>
      <c r="AA366" s="19"/>
      <c r="AB366" s="19"/>
      <c r="AC366" s="19"/>
      <c r="AD366" s="18"/>
      <c r="AE366" s="19"/>
      <c r="AF366" s="19"/>
      <c r="AG366" s="19"/>
      <c r="AH366" s="19"/>
      <c r="AI366" s="18"/>
      <c r="AJ366" s="19"/>
      <c r="AK366" s="19"/>
      <c r="AL366" s="19"/>
      <c r="AM366" s="19"/>
    </row>
    <row r="367" spans="1:39" s="2" customFormat="1" ht="39.75" customHeight="1" outlineLevel="2" x14ac:dyDescent="0.25">
      <c r="A367" s="138" t="s">
        <v>499</v>
      </c>
      <c r="B367" s="180" t="s">
        <v>541</v>
      </c>
      <c r="C367" s="180"/>
      <c r="D367" s="181"/>
      <c r="E367" s="20">
        <f>SUM(E368:E377)</f>
        <v>3140.1000000000004</v>
      </c>
      <c r="F367" s="20">
        <f t="shared" ref="F367:W367" si="295">SUM(F368:F377)</f>
        <v>0</v>
      </c>
      <c r="G367" s="20">
        <f t="shared" si="295"/>
        <v>0</v>
      </c>
      <c r="H367" s="20">
        <f t="shared" si="295"/>
        <v>3140.1000000000004</v>
      </c>
      <c r="I367" s="20">
        <f t="shared" si="295"/>
        <v>0</v>
      </c>
      <c r="J367" s="20">
        <f t="shared" si="295"/>
        <v>0</v>
      </c>
      <c r="K367" s="20">
        <f t="shared" si="295"/>
        <v>0</v>
      </c>
      <c r="L367" s="20">
        <f t="shared" si="295"/>
        <v>0</v>
      </c>
      <c r="M367" s="20">
        <f t="shared" si="295"/>
        <v>0</v>
      </c>
      <c r="N367" s="20">
        <f t="shared" si="295"/>
        <v>0</v>
      </c>
      <c r="O367" s="20">
        <f t="shared" si="295"/>
        <v>2308.7000000000003</v>
      </c>
      <c r="P367" s="20">
        <f t="shared" si="295"/>
        <v>0</v>
      </c>
      <c r="Q367" s="20">
        <f t="shared" si="295"/>
        <v>0</v>
      </c>
      <c r="R367" s="20">
        <f t="shared" si="295"/>
        <v>2308.7000000000003</v>
      </c>
      <c r="S367" s="20">
        <f t="shared" si="295"/>
        <v>0</v>
      </c>
      <c r="T367" s="20">
        <f t="shared" si="295"/>
        <v>831.4</v>
      </c>
      <c r="U367" s="20">
        <f t="shared" si="295"/>
        <v>0</v>
      </c>
      <c r="V367" s="20">
        <f t="shared" si="295"/>
        <v>0</v>
      </c>
      <c r="W367" s="20">
        <f t="shared" si="295"/>
        <v>831.4</v>
      </c>
      <c r="X367" s="20">
        <f t="shared" ref="X367:AM367" si="296">SUM(X368:X376)</f>
        <v>0</v>
      </c>
      <c r="Y367" s="20">
        <f t="shared" si="296"/>
        <v>0</v>
      </c>
      <c r="Z367" s="20">
        <f t="shared" si="296"/>
        <v>0</v>
      </c>
      <c r="AA367" s="20">
        <f t="shared" si="296"/>
        <v>0</v>
      </c>
      <c r="AB367" s="20">
        <f t="shared" si="296"/>
        <v>0</v>
      </c>
      <c r="AC367" s="20">
        <f t="shared" si="296"/>
        <v>0</v>
      </c>
      <c r="AD367" s="20">
        <f t="shared" si="296"/>
        <v>0</v>
      </c>
      <c r="AE367" s="20">
        <f t="shared" si="296"/>
        <v>0</v>
      </c>
      <c r="AF367" s="20">
        <f t="shared" si="296"/>
        <v>0</v>
      </c>
      <c r="AG367" s="20">
        <f t="shared" si="296"/>
        <v>0</v>
      </c>
      <c r="AH367" s="20">
        <f t="shared" si="296"/>
        <v>0</v>
      </c>
      <c r="AI367" s="20">
        <f t="shared" si="296"/>
        <v>0</v>
      </c>
      <c r="AJ367" s="20">
        <f t="shared" si="296"/>
        <v>0</v>
      </c>
      <c r="AK367" s="20">
        <f t="shared" si="296"/>
        <v>0</v>
      </c>
      <c r="AL367" s="20">
        <f t="shared" si="296"/>
        <v>0</v>
      </c>
      <c r="AM367" s="20">
        <f t="shared" si="296"/>
        <v>0</v>
      </c>
    </row>
    <row r="368" spans="1:39" s="2" customFormat="1" ht="31.5" outlineLevel="3" x14ac:dyDescent="0.25">
      <c r="A368" s="8" t="s">
        <v>500</v>
      </c>
      <c r="B368" s="33" t="s">
        <v>521</v>
      </c>
      <c r="C368" s="26" t="s">
        <v>32</v>
      </c>
      <c r="D368" s="26" t="s">
        <v>118</v>
      </c>
      <c r="E368" s="20">
        <f t="shared" ref="E368:E377" si="297">SUM(F368:I368)</f>
        <v>257.60000000000002</v>
      </c>
      <c r="F368" s="20">
        <f t="shared" ref="F368:F373" si="298">K368</f>
        <v>0</v>
      </c>
      <c r="G368" s="38">
        <f t="shared" ref="G368:H373" si="299">L368+Q368+V368+AA368+AF368+AK368</f>
        <v>0</v>
      </c>
      <c r="H368" s="38">
        <f>M368+R368+W368+AB368+AG368+AL368</f>
        <v>257.60000000000002</v>
      </c>
      <c r="I368" s="38">
        <f t="shared" ref="I368:I373" si="300">N368+S368+X368+AC368+AH368+AM368</f>
        <v>0</v>
      </c>
      <c r="J368" s="18">
        <f t="shared" ref="J368:J373" si="301">SUM(K368:N368)</f>
        <v>0</v>
      </c>
      <c r="K368" s="19">
        <v>0</v>
      </c>
      <c r="L368" s="19">
        <v>0</v>
      </c>
      <c r="M368" s="19">
        <v>0</v>
      </c>
      <c r="N368" s="19">
        <v>0</v>
      </c>
      <c r="O368" s="18">
        <f t="shared" ref="O368:O373" si="302">SUM(P368:S368)</f>
        <v>103.7</v>
      </c>
      <c r="P368" s="19">
        <v>0</v>
      </c>
      <c r="Q368" s="19">
        <v>0</v>
      </c>
      <c r="R368" s="19">
        <v>103.7</v>
      </c>
      <c r="S368" s="19">
        <v>0</v>
      </c>
      <c r="T368" s="18">
        <f>W368</f>
        <v>153.9</v>
      </c>
      <c r="U368" s="19"/>
      <c r="V368" s="19">
        <v>0</v>
      </c>
      <c r="W368" s="19">
        <f>86.7+67.2</f>
        <v>153.9</v>
      </c>
      <c r="X368" s="19">
        <v>0</v>
      </c>
      <c r="Y368" s="18">
        <f t="shared" ref="Y368:Y376" si="303">SUM(Z368:AC368)</f>
        <v>0</v>
      </c>
      <c r="Z368" s="19">
        <v>0</v>
      </c>
      <c r="AA368" s="19">
        <v>0</v>
      </c>
      <c r="AB368" s="19">
        <v>0</v>
      </c>
      <c r="AC368" s="19">
        <v>0</v>
      </c>
      <c r="AD368" s="18">
        <f t="shared" ref="AD368:AD373" si="304">SUM(AE368:AH368)</f>
        <v>0</v>
      </c>
      <c r="AE368" s="19">
        <v>0</v>
      </c>
      <c r="AF368" s="19">
        <v>0</v>
      </c>
      <c r="AG368" s="19">
        <v>0</v>
      </c>
      <c r="AH368" s="19">
        <v>0</v>
      </c>
      <c r="AI368" s="18">
        <f t="shared" ref="AI368:AI373" si="305">SUM(AJ368:AM368)</f>
        <v>0</v>
      </c>
      <c r="AJ368" s="19">
        <v>0</v>
      </c>
      <c r="AK368" s="19">
        <v>0</v>
      </c>
      <c r="AL368" s="19">
        <v>0</v>
      </c>
      <c r="AM368" s="19">
        <v>0</v>
      </c>
    </row>
    <row r="369" spans="1:39" s="2" customFormat="1" ht="31.5" outlineLevel="3" x14ac:dyDescent="0.25">
      <c r="A369" s="8" t="s">
        <v>501</v>
      </c>
      <c r="B369" s="33" t="s">
        <v>522</v>
      </c>
      <c r="C369" s="26" t="s">
        <v>32</v>
      </c>
      <c r="D369" s="26" t="s">
        <v>118</v>
      </c>
      <c r="E369" s="20">
        <f t="shared" si="297"/>
        <v>88.8</v>
      </c>
      <c r="F369" s="20">
        <f>K369</f>
        <v>0</v>
      </c>
      <c r="G369" s="38">
        <f t="shared" si="299"/>
        <v>0</v>
      </c>
      <c r="H369" s="38">
        <f t="shared" si="299"/>
        <v>88.8</v>
      </c>
      <c r="I369" s="38">
        <f>N369+S369+X369+AC369+AH369+AM369</f>
        <v>0</v>
      </c>
      <c r="J369" s="18">
        <f>SUM(K369:N369)</f>
        <v>0</v>
      </c>
      <c r="K369" s="19">
        <v>0</v>
      </c>
      <c r="L369" s="19">
        <v>0</v>
      </c>
      <c r="M369" s="19">
        <v>0</v>
      </c>
      <c r="N369" s="19">
        <v>0</v>
      </c>
      <c r="O369" s="18">
        <f>SUM(P369:S369)</f>
        <v>88.8</v>
      </c>
      <c r="P369" s="19">
        <v>0</v>
      </c>
      <c r="Q369" s="19">
        <v>0</v>
      </c>
      <c r="R369" s="19">
        <v>88.8</v>
      </c>
      <c r="S369" s="19">
        <v>0</v>
      </c>
      <c r="T369" s="18">
        <v>0</v>
      </c>
      <c r="U369" s="19"/>
      <c r="V369" s="19">
        <v>0</v>
      </c>
      <c r="W369" s="19">
        <v>0</v>
      </c>
      <c r="X369" s="19">
        <v>0</v>
      </c>
      <c r="Y369" s="18">
        <f t="shared" si="303"/>
        <v>0</v>
      </c>
      <c r="Z369" s="19">
        <v>0</v>
      </c>
      <c r="AA369" s="19">
        <v>0</v>
      </c>
      <c r="AB369" s="19">
        <v>0</v>
      </c>
      <c r="AC369" s="19">
        <v>0</v>
      </c>
      <c r="AD369" s="18">
        <f>SUM(AE369:AH369)</f>
        <v>0</v>
      </c>
      <c r="AE369" s="19">
        <v>0</v>
      </c>
      <c r="AF369" s="19">
        <v>0</v>
      </c>
      <c r="AG369" s="19">
        <v>0</v>
      </c>
      <c r="AH369" s="19">
        <v>0</v>
      </c>
      <c r="AI369" s="18">
        <f>SUM(AJ369:AM369)</f>
        <v>0</v>
      </c>
      <c r="AJ369" s="19">
        <v>0</v>
      </c>
      <c r="AK369" s="19">
        <v>0</v>
      </c>
      <c r="AL369" s="19">
        <v>0</v>
      </c>
      <c r="AM369" s="19">
        <v>0</v>
      </c>
    </row>
    <row r="370" spans="1:39" s="2" customFormat="1" ht="31.5" outlineLevel="3" x14ac:dyDescent="0.25">
      <c r="A370" s="8" t="s">
        <v>518</v>
      </c>
      <c r="B370" s="33" t="s">
        <v>523</v>
      </c>
      <c r="C370" s="26" t="s">
        <v>32</v>
      </c>
      <c r="D370" s="26" t="s">
        <v>118</v>
      </c>
      <c r="E370" s="20">
        <f t="shared" si="297"/>
        <v>968</v>
      </c>
      <c r="F370" s="20">
        <f>K370</f>
        <v>0</v>
      </c>
      <c r="G370" s="38">
        <f t="shared" si="299"/>
        <v>0</v>
      </c>
      <c r="H370" s="38">
        <f t="shared" si="299"/>
        <v>968</v>
      </c>
      <c r="I370" s="38">
        <f>N370+S370+X370+AC370+AH370+AM370</f>
        <v>0</v>
      </c>
      <c r="J370" s="18">
        <f>SUM(K370:N370)</f>
        <v>0</v>
      </c>
      <c r="K370" s="19">
        <v>0</v>
      </c>
      <c r="L370" s="19">
        <v>0</v>
      </c>
      <c r="M370" s="19">
        <v>0</v>
      </c>
      <c r="N370" s="19">
        <v>0</v>
      </c>
      <c r="O370" s="18">
        <f>SUM(P370:S370)</f>
        <v>968</v>
      </c>
      <c r="P370" s="19">
        <v>0</v>
      </c>
      <c r="Q370" s="19">
        <v>0</v>
      </c>
      <c r="R370" s="19">
        <f>972.8-4.8</f>
        <v>968</v>
      </c>
      <c r="S370" s="19">
        <v>0</v>
      </c>
      <c r="T370" s="18">
        <v>0</v>
      </c>
      <c r="U370" s="19"/>
      <c r="V370" s="19">
        <v>0</v>
      </c>
      <c r="W370" s="19">
        <v>0</v>
      </c>
      <c r="X370" s="19">
        <v>0</v>
      </c>
      <c r="Y370" s="18">
        <f t="shared" si="303"/>
        <v>0</v>
      </c>
      <c r="Z370" s="19">
        <v>0</v>
      </c>
      <c r="AA370" s="19">
        <v>0</v>
      </c>
      <c r="AB370" s="19">
        <v>0</v>
      </c>
      <c r="AC370" s="19">
        <v>0</v>
      </c>
      <c r="AD370" s="18">
        <f>SUM(AE370:AH370)</f>
        <v>0</v>
      </c>
      <c r="AE370" s="19">
        <v>0</v>
      </c>
      <c r="AF370" s="19">
        <v>0</v>
      </c>
      <c r="AG370" s="19">
        <v>0</v>
      </c>
      <c r="AH370" s="19">
        <v>0</v>
      </c>
      <c r="AI370" s="18">
        <f>SUM(AJ370:AM370)</f>
        <v>0</v>
      </c>
      <c r="AJ370" s="19">
        <v>0</v>
      </c>
      <c r="AK370" s="19">
        <v>0</v>
      </c>
      <c r="AL370" s="19">
        <v>0</v>
      </c>
      <c r="AM370" s="19">
        <v>0</v>
      </c>
    </row>
    <row r="371" spans="1:39" s="2" customFormat="1" ht="31.5" outlineLevel="3" x14ac:dyDescent="0.25">
      <c r="A371" s="8" t="s">
        <v>519</v>
      </c>
      <c r="B371" s="33" t="s">
        <v>502</v>
      </c>
      <c r="C371" s="26" t="s">
        <v>32</v>
      </c>
      <c r="D371" s="26" t="s">
        <v>118</v>
      </c>
      <c r="E371" s="20">
        <f t="shared" si="297"/>
        <v>195.7</v>
      </c>
      <c r="F371" s="20">
        <f>K371</f>
        <v>0</v>
      </c>
      <c r="G371" s="38">
        <f t="shared" si="299"/>
        <v>0</v>
      </c>
      <c r="H371" s="38">
        <f t="shared" si="299"/>
        <v>195.7</v>
      </c>
      <c r="I371" s="38">
        <f>N371+S371+X371+AC371+AH371+AM371</f>
        <v>0</v>
      </c>
      <c r="J371" s="18">
        <f>SUM(K371:N371)</f>
        <v>0</v>
      </c>
      <c r="K371" s="19">
        <v>0</v>
      </c>
      <c r="L371" s="19">
        <v>0</v>
      </c>
      <c r="M371" s="19">
        <v>0</v>
      </c>
      <c r="N371" s="19">
        <v>0</v>
      </c>
      <c r="O371" s="18">
        <f>SUM(P371:S371)</f>
        <v>195.7</v>
      </c>
      <c r="P371" s="19">
        <v>0</v>
      </c>
      <c r="Q371" s="19">
        <v>0</v>
      </c>
      <c r="R371" s="19">
        <v>195.7</v>
      </c>
      <c r="S371" s="19">
        <v>0</v>
      </c>
      <c r="T371" s="18">
        <v>0</v>
      </c>
      <c r="U371" s="19"/>
      <c r="V371" s="19">
        <v>0</v>
      </c>
      <c r="W371" s="19">
        <v>0</v>
      </c>
      <c r="X371" s="19">
        <v>0</v>
      </c>
      <c r="Y371" s="18">
        <f t="shared" si="303"/>
        <v>0</v>
      </c>
      <c r="Z371" s="19">
        <v>0</v>
      </c>
      <c r="AA371" s="19">
        <v>0</v>
      </c>
      <c r="AB371" s="19">
        <v>0</v>
      </c>
      <c r="AC371" s="19">
        <v>0</v>
      </c>
      <c r="AD371" s="18">
        <f>SUM(AE371:AH371)</f>
        <v>0</v>
      </c>
      <c r="AE371" s="19">
        <v>0</v>
      </c>
      <c r="AF371" s="19">
        <v>0</v>
      </c>
      <c r="AG371" s="19">
        <v>0</v>
      </c>
      <c r="AH371" s="19">
        <v>0</v>
      </c>
      <c r="AI371" s="18">
        <f>SUM(AJ371:AM371)</f>
        <v>0</v>
      </c>
      <c r="AJ371" s="19">
        <v>0</v>
      </c>
      <c r="AK371" s="19">
        <v>0</v>
      </c>
      <c r="AL371" s="19">
        <v>0</v>
      </c>
      <c r="AM371" s="19">
        <v>0</v>
      </c>
    </row>
    <row r="372" spans="1:39" s="2" customFormat="1" ht="31.5" outlineLevel="3" x14ac:dyDescent="0.25">
      <c r="A372" s="8" t="s">
        <v>520</v>
      </c>
      <c r="B372" s="33" t="s">
        <v>503</v>
      </c>
      <c r="C372" s="26" t="s">
        <v>32</v>
      </c>
      <c r="D372" s="26" t="s">
        <v>118</v>
      </c>
      <c r="E372" s="20">
        <f t="shared" si="297"/>
        <v>58.8</v>
      </c>
      <c r="F372" s="20">
        <f t="shared" si="298"/>
        <v>0</v>
      </c>
      <c r="G372" s="38">
        <f t="shared" si="299"/>
        <v>0</v>
      </c>
      <c r="H372" s="38">
        <f t="shared" si="299"/>
        <v>58.8</v>
      </c>
      <c r="I372" s="38">
        <f t="shared" si="300"/>
        <v>0</v>
      </c>
      <c r="J372" s="18">
        <f t="shared" si="301"/>
        <v>0</v>
      </c>
      <c r="K372" s="19">
        <v>0</v>
      </c>
      <c r="L372" s="19">
        <v>0</v>
      </c>
      <c r="M372" s="19">
        <v>0</v>
      </c>
      <c r="N372" s="19">
        <v>0</v>
      </c>
      <c r="O372" s="18">
        <f t="shared" si="302"/>
        <v>58.8</v>
      </c>
      <c r="P372" s="19">
        <v>0</v>
      </c>
      <c r="Q372" s="19">
        <v>0</v>
      </c>
      <c r="R372" s="19">
        <v>58.8</v>
      </c>
      <c r="S372" s="19">
        <v>0</v>
      </c>
      <c r="T372" s="18">
        <v>0</v>
      </c>
      <c r="U372" s="19"/>
      <c r="V372" s="19">
        <v>0</v>
      </c>
      <c r="W372" s="19">
        <v>0</v>
      </c>
      <c r="X372" s="19">
        <v>0</v>
      </c>
      <c r="Y372" s="18">
        <f t="shared" si="303"/>
        <v>0</v>
      </c>
      <c r="Z372" s="19">
        <v>0</v>
      </c>
      <c r="AA372" s="19">
        <v>0</v>
      </c>
      <c r="AB372" s="19">
        <v>0</v>
      </c>
      <c r="AC372" s="19">
        <v>0</v>
      </c>
      <c r="AD372" s="18">
        <f t="shared" si="304"/>
        <v>0</v>
      </c>
      <c r="AE372" s="19">
        <v>0</v>
      </c>
      <c r="AF372" s="19">
        <v>0</v>
      </c>
      <c r="AG372" s="19">
        <v>0</v>
      </c>
      <c r="AH372" s="19">
        <v>0</v>
      </c>
      <c r="AI372" s="18">
        <f t="shared" si="305"/>
        <v>0</v>
      </c>
      <c r="AJ372" s="19">
        <v>0</v>
      </c>
      <c r="AK372" s="19">
        <v>0</v>
      </c>
      <c r="AL372" s="19">
        <v>0</v>
      </c>
      <c r="AM372" s="19">
        <v>0</v>
      </c>
    </row>
    <row r="373" spans="1:39" s="2" customFormat="1" ht="31.5" outlineLevel="3" x14ac:dyDescent="0.25">
      <c r="A373" s="8" t="s">
        <v>544</v>
      </c>
      <c r="B373" s="33" t="s">
        <v>511</v>
      </c>
      <c r="C373" s="26" t="s">
        <v>32</v>
      </c>
      <c r="D373" s="26" t="s">
        <v>118</v>
      </c>
      <c r="E373" s="20">
        <f t="shared" si="297"/>
        <v>373.7</v>
      </c>
      <c r="F373" s="20">
        <f t="shared" si="298"/>
        <v>0</v>
      </c>
      <c r="G373" s="38">
        <f t="shared" si="299"/>
        <v>0</v>
      </c>
      <c r="H373" s="38">
        <f t="shared" si="299"/>
        <v>373.7</v>
      </c>
      <c r="I373" s="38">
        <f t="shared" si="300"/>
        <v>0</v>
      </c>
      <c r="J373" s="18">
        <f t="shared" si="301"/>
        <v>0</v>
      </c>
      <c r="K373" s="19">
        <v>0</v>
      </c>
      <c r="L373" s="19">
        <v>0</v>
      </c>
      <c r="M373" s="19">
        <v>0</v>
      </c>
      <c r="N373" s="19">
        <v>0</v>
      </c>
      <c r="O373" s="18">
        <f t="shared" si="302"/>
        <v>373.7</v>
      </c>
      <c r="P373" s="19">
        <v>0</v>
      </c>
      <c r="Q373" s="19">
        <v>0</v>
      </c>
      <c r="R373" s="19">
        <v>373.7</v>
      </c>
      <c r="S373" s="19">
        <v>0</v>
      </c>
      <c r="T373" s="18">
        <v>0</v>
      </c>
      <c r="U373" s="19"/>
      <c r="V373" s="19">
        <v>0</v>
      </c>
      <c r="W373" s="19">
        <v>0</v>
      </c>
      <c r="X373" s="19">
        <v>0</v>
      </c>
      <c r="Y373" s="18">
        <f t="shared" si="303"/>
        <v>0</v>
      </c>
      <c r="Z373" s="19">
        <v>0</v>
      </c>
      <c r="AA373" s="19">
        <v>0</v>
      </c>
      <c r="AB373" s="19">
        <v>0</v>
      </c>
      <c r="AC373" s="19">
        <v>0</v>
      </c>
      <c r="AD373" s="18">
        <f t="shared" si="304"/>
        <v>0</v>
      </c>
      <c r="AE373" s="19">
        <v>0</v>
      </c>
      <c r="AF373" s="19">
        <v>0</v>
      </c>
      <c r="AG373" s="19">
        <v>0</v>
      </c>
      <c r="AH373" s="19">
        <v>0</v>
      </c>
      <c r="AI373" s="18">
        <f t="shared" si="305"/>
        <v>0</v>
      </c>
      <c r="AJ373" s="19">
        <v>0</v>
      </c>
      <c r="AK373" s="19">
        <v>0</v>
      </c>
      <c r="AL373" s="19">
        <v>0</v>
      </c>
      <c r="AM373" s="19">
        <v>0</v>
      </c>
    </row>
    <row r="374" spans="1:39" s="2" customFormat="1" ht="31.5" outlineLevel="3" x14ac:dyDescent="0.25">
      <c r="A374" s="8" t="s">
        <v>579</v>
      </c>
      <c r="B374" s="33" t="s">
        <v>577</v>
      </c>
      <c r="C374" s="26" t="s">
        <v>32</v>
      </c>
      <c r="D374" s="26" t="s">
        <v>118</v>
      </c>
      <c r="E374" s="20">
        <f t="shared" si="297"/>
        <v>187.2</v>
      </c>
      <c r="F374" s="20">
        <f>K374</f>
        <v>0</v>
      </c>
      <c r="G374" s="38">
        <f t="shared" ref="G374:I376" si="306">L374+Q374+V374+AA374+AF374+AK374</f>
        <v>0</v>
      </c>
      <c r="H374" s="38">
        <f t="shared" si="306"/>
        <v>187.2</v>
      </c>
      <c r="I374" s="38">
        <f t="shared" si="306"/>
        <v>0</v>
      </c>
      <c r="J374" s="18">
        <f>SUM(K374:N374)</f>
        <v>0</v>
      </c>
      <c r="K374" s="19">
        <v>0</v>
      </c>
      <c r="L374" s="19">
        <v>0</v>
      </c>
      <c r="M374" s="19">
        <v>0</v>
      </c>
      <c r="N374" s="19">
        <v>0</v>
      </c>
      <c r="O374" s="18">
        <f>SUM(P374:S374)</f>
        <v>187.2</v>
      </c>
      <c r="P374" s="19">
        <v>0</v>
      </c>
      <c r="Q374" s="19">
        <v>0</v>
      </c>
      <c r="R374" s="19">
        <v>187.2</v>
      </c>
      <c r="S374" s="19">
        <v>0</v>
      </c>
      <c r="T374" s="18">
        <v>0</v>
      </c>
      <c r="U374" s="19"/>
      <c r="V374" s="19">
        <v>0</v>
      </c>
      <c r="W374" s="19">
        <v>0</v>
      </c>
      <c r="X374" s="19">
        <v>0</v>
      </c>
      <c r="Y374" s="18">
        <f t="shared" si="303"/>
        <v>0</v>
      </c>
      <c r="Z374" s="19">
        <v>0</v>
      </c>
      <c r="AA374" s="19">
        <v>0</v>
      </c>
      <c r="AB374" s="19">
        <v>0</v>
      </c>
      <c r="AC374" s="19">
        <v>0</v>
      </c>
      <c r="AD374" s="18">
        <f>SUM(AE374:AH374)</f>
        <v>0</v>
      </c>
      <c r="AE374" s="19">
        <v>0</v>
      </c>
      <c r="AF374" s="19">
        <v>0</v>
      </c>
      <c r="AG374" s="19">
        <v>0</v>
      </c>
      <c r="AH374" s="19">
        <v>0</v>
      </c>
      <c r="AI374" s="18">
        <f>SUM(AJ374:AM374)</f>
        <v>0</v>
      </c>
      <c r="AJ374" s="19">
        <v>0</v>
      </c>
      <c r="AK374" s="19">
        <v>0</v>
      </c>
      <c r="AL374" s="19">
        <v>0</v>
      </c>
      <c r="AM374" s="19">
        <v>0</v>
      </c>
    </row>
    <row r="375" spans="1:39" s="2" customFormat="1" ht="31.5" outlineLevel="3" x14ac:dyDescent="0.25">
      <c r="A375" s="8" t="s">
        <v>580</v>
      </c>
      <c r="B375" s="33" t="s">
        <v>578</v>
      </c>
      <c r="C375" s="26" t="s">
        <v>32</v>
      </c>
      <c r="D375" s="26" t="s">
        <v>118</v>
      </c>
      <c r="E375" s="20">
        <f t="shared" si="297"/>
        <v>377.8</v>
      </c>
      <c r="F375" s="20">
        <f>K375</f>
        <v>0</v>
      </c>
      <c r="G375" s="38">
        <f t="shared" si="306"/>
        <v>0</v>
      </c>
      <c r="H375" s="38">
        <f t="shared" si="306"/>
        <v>377.8</v>
      </c>
      <c r="I375" s="38">
        <f t="shared" si="306"/>
        <v>0</v>
      </c>
      <c r="J375" s="18">
        <f>SUM(K375:N375)</f>
        <v>0</v>
      </c>
      <c r="K375" s="19">
        <v>0</v>
      </c>
      <c r="L375" s="19">
        <v>0</v>
      </c>
      <c r="M375" s="19">
        <v>0</v>
      </c>
      <c r="N375" s="19">
        <v>0</v>
      </c>
      <c r="O375" s="18">
        <f>SUM(P375:S375)</f>
        <v>88.8</v>
      </c>
      <c r="P375" s="19">
        <v>0</v>
      </c>
      <c r="Q375" s="19">
        <v>0</v>
      </c>
      <c r="R375" s="19">
        <v>88.8</v>
      </c>
      <c r="S375" s="19">
        <v>0</v>
      </c>
      <c r="T375" s="18">
        <f>W375</f>
        <v>289</v>
      </c>
      <c r="U375" s="19"/>
      <c r="V375" s="19">
        <v>0</v>
      </c>
      <c r="W375" s="19">
        <v>289</v>
      </c>
      <c r="X375" s="19">
        <v>0</v>
      </c>
      <c r="Y375" s="18">
        <f t="shared" si="303"/>
        <v>0</v>
      </c>
      <c r="Z375" s="19">
        <v>0</v>
      </c>
      <c r="AA375" s="19">
        <v>0</v>
      </c>
      <c r="AB375" s="19">
        <v>0</v>
      </c>
      <c r="AC375" s="19">
        <v>0</v>
      </c>
      <c r="AD375" s="18">
        <f>SUM(AE375:AH375)</f>
        <v>0</v>
      </c>
      <c r="AE375" s="19">
        <v>0</v>
      </c>
      <c r="AF375" s="19">
        <v>0</v>
      </c>
      <c r="AG375" s="19">
        <v>0</v>
      </c>
      <c r="AH375" s="19">
        <v>0</v>
      </c>
      <c r="AI375" s="18">
        <f>SUM(AJ375:AM375)</f>
        <v>0</v>
      </c>
      <c r="AJ375" s="19">
        <v>0</v>
      </c>
      <c r="AK375" s="19">
        <v>0</v>
      </c>
      <c r="AL375" s="19">
        <v>0</v>
      </c>
      <c r="AM375" s="19">
        <v>0</v>
      </c>
    </row>
    <row r="376" spans="1:39" s="2" customFormat="1" ht="31.5" outlineLevel="3" x14ac:dyDescent="0.25">
      <c r="A376" s="8" t="s">
        <v>763</v>
      </c>
      <c r="B376" s="33" t="s">
        <v>50</v>
      </c>
      <c r="C376" s="26" t="s">
        <v>32</v>
      </c>
      <c r="D376" s="26" t="s">
        <v>118</v>
      </c>
      <c r="E376" s="20">
        <f t="shared" si="297"/>
        <v>488</v>
      </c>
      <c r="F376" s="20">
        <f>K376</f>
        <v>0</v>
      </c>
      <c r="G376" s="38">
        <f t="shared" si="306"/>
        <v>0</v>
      </c>
      <c r="H376" s="38">
        <f t="shared" si="306"/>
        <v>488</v>
      </c>
      <c r="I376" s="38">
        <f t="shared" si="306"/>
        <v>0</v>
      </c>
      <c r="J376" s="18">
        <f>SUM(K376:N376)</f>
        <v>0</v>
      </c>
      <c r="K376" s="19">
        <v>0</v>
      </c>
      <c r="L376" s="19">
        <v>0</v>
      </c>
      <c r="M376" s="19">
        <v>0</v>
      </c>
      <c r="N376" s="19">
        <v>0</v>
      </c>
      <c r="O376" s="18">
        <f>SUM(P376:S376)</f>
        <v>244</v>
      </c>
      <c r="P376" s="19">
        <v>0</v>
      </c>
      <c r="Q376" s="19">
        <v>0</v>
      </c>
      <c r="R376" s="19">
        <v>244</v>
      </c>
      <c r="S376" s="19">
        <v>0</v>
      </c>
      <c r="T376" s="18">
        <f>W376</f>
        <v>244</v>
      </c>
      <c r="U376" s="19"/>
      <c r="V376" s="19">
        <v>0</v>
      </c>
      <c r="W376" s="19">
        <v>244</v>
      </c>
      <c r="X376" s="19">
        <v>0</v>
      </c>
      <c r="Y376" s="18">
        <f t="shared" si="303"/>
        <v>0</v>
      </c>
      <c r="Z376" s="19">
        <v>0</v>
      </c>
      <c r="AA376" s="19">
        <v>0</v>
      </c>
      <c r="AB376" s="19">
        <v>0</v>
      </c>
      <c r="AC376" s="19">
        <v>0</v>
      </c>
      <c r="AD376" s="18">
        <f>SUM(AE376:AH376)</f>
        <v>0</v>
      </c>
      <c r="AE376" s="19">
        <v>0</v>
      </c>
      <c r="AF376" s="19">
        <v>0</v>
      </c>
      <c r="AG376" s="19">
        <v>0</v>
      </c>
      <c r="AH376" s="19">
        <v>0</v>
      </c>
      <c r="AI376" s="18">
        <f>SUM(AJ376:AM376)</f>
        <v>0</v>
      </c>
      <c r="AJ376" s="19">
        <v>0</v>
      </c>
      <c r="AK376" s="19">
        <v>0</v>
      </c>
      <c r="AL376" s="19">
        <v>0</v>
      </c>
      <c r="AM376" s="19">
        <v>0</v>
      </c>
    </row>
    <row r="377" spans="1:39" s="2" customFormat="1" ht="31.5" outlineLevel="3" x14ac:dyDescent="0.25">
      <c r="A377" s="8" t="s">
        <v>852</v>
      </c>
      <c r="B377" s="33" t="s">
        <v>56</v>
      </c>
      <c r="C377" s="26" t="s">
        <v>32</v>
      </c>
      <c r="D377" s="26" t="s">
        <v>118</v>
      </c>
      <c r="E377" s="20">
        <f t="shared" si="297"/>
        <v>144.5</v>
      </c>
      <c r="F377" s="20">
        <f>K377</f>
        <v>0</v>
      </c>
      <c r="G377" s="38">
        <f>L377+Q377+V377+AA377+AF377+AK377</f>
        <v>0</v>
      </c>
      <c r="H377" s="38">
        <f>M377+R377+W377+AB377+AG377+AL377</f>
        <v>144.5</v>
      </c>
      <c r="I377" s="38"/>
      <c r="J377" s="18"/>
      <c r="K377" s="19"/>
      <c r="L377" s="19"/>
      <c r="M377" s="19"/>
      <c r="N377" s="19"/>
      <c r="O377" s="18"/>
      <c r="P377" s="19"/>
      <c r="Q377" s="19"/>
      <c r="R377" s="19"/>
      <c r="S377" s="19"/>
      <c r="T377" s="18">
        <f>W377</f>
        <v>144.5</v>
      </c>
      <c r="U377" s="19"/>
      <c r="V377" s="19"/>
      <c r="W377" s="19">
        <v>144.5</v>
      </c>
      <c r="X377" s="19"/>
      <c r="Y377" s="18"/>
      <c r="Z377" s="19"/>
      <c r="AA377" s="19"/>
      <c r="AB377" s="19"/>
      <c r="AC377" s="19"/>
      <c r="AD377" s="18"/>
      <c r="AE377" s="19"/>
      <c r="AF377" s="19"/>
      <c r="AG377" s="19"/>
      <c r="AH377" s="19"/>
      <c r="AI377" s="18"/>
      <c r="AJ377" s="19"/>
      <c r="AK377" s="19"/>
      <c r="AL377" s="19"/>
      <c r="AM377" s="19"/>
    </row>
    <row r="378" spans="1:39" s="5" customFormat="1" ht="31.5" customHeight="1" outlineLevel="1" x14ac:dyDescent="0.25">
      <c r="A378" s="138" t="s">
        <v>254</v>
      </c>
      <c r="B378" s="173" t="s">
        <v>24</v>
      </c>
      <c r="C378" s="174"/>
      <c r="D378" s="174"/>
      <c r="E378" s="18">
        <f t="shared" ref="E378:AM378" si="307">SUM(E379:E379)</f>
        <v>468.3</v>
      </c>
      <c r="F378" s="18">
        <f t="shared" si="307"/>
        <v>0</v>
      </c>
      <c r="G378" s="18">
        <f t="shared" si="307"/>
        <v>0</v>
      </c>
      <c r="H378" s="18">
        <f t="shared" si="307"/>
        <v>468.3</v>
      </c>
      <c r="I378" s="18">
        <f t="shared" si="307"/>
        <v>0</v>
      </c>
      <c r="J378" s="18">
        <f t="shared" si="307"/>
        <v>0</v>
      </c>
      <c r="K378" s="18">
        <f t="shared" si="307"/>
        <v>0</v>
      </c>
      <c r="L378" s="18">
        <f t="shared" si="307"/>
        <v>0</v>
      </c>
      <c r="M378" s="18">
        <f t="shared" si="307"/>
        <v>0</v>
      </c>
      <c r="N378" s="18">
        <f t="shared" si="307"/>
        <v>0</v>
      </c>
      <c r="O378" s="18">
        <f t="shared" si="307"/>
        <v>468.3</v>
      </c>
      <c r="P378" s="18">
        <f t="shared" si="307"/>
        <v>0</v>
      </c>
      <c r="Q378" s="18">
        <f t="shared" si="307"/>
        <v>0</v>
      </c>
      <c r="R378" s="18">
        <f t="shared" si="307"/>
        <v>468.3</v>
      </c>
      <c r="S378" s="18">
        <f t="shared" si="307"/>
        <v>0</v>
      </c>
      <c r="T378" s="18">
        <f t="shared" si="307"/>
        <v>0</v>
      </c>
      <c r="U378" s="18">
        <f t="shared" si="307"/>
        <v>0</v>
      </c>
      <c r="V378" s="18">
        <f t="shared" si="307"/>
        <v>0</v>
      </c>
      <c r="W378" s="18">
        <f t="shared" si="307"/>
        <v>0</v>
      </c>
      <c r="X378" s="18">
        <f t="shared" si="307"/>
        <v>0</v>
      </c>
      <c r="Y378" s="18">
        <f t="shared" si="307"/>
        <v>0</v>
      </c>
      <c r="Z378" s="18">
        <f t="shared" si="307"/>
        <v>0</v>
      </c>
      <c r="AA378" s="18">
        <f t="shared" si="307"/>
        <v>0</v>
      </c>
      <c r="AB378" s="18">
        <f t="shared" si="307"/>
        <v>0</v>
      </c>
      <c r="AC378" s="18">
        <f t="shared" si="307"/>
        <v>0</v>
      </c>
      <c r="AD378" s="18">
        <f t="shared" si="307"/>
        <v>0</v>
      </c>
      <c r="AE378" s="18">
        <f t="shared" si="307"/>
        <v>0</v>
      </c>
      <c r="AF378" s="18">
        <f t="shared" si="307"/>
        <v>0</v>
      </c>
      <c r="AG378" s="18">
        <f t="shared" si="307"/>
        <v>0</v>
      </c>
      <c r="AH378" s="18">
        <f t="shared" si="307"/>
        <v>0</v>
      </c>
      <c r="AI378" s="18">
        <f t="shared" si="307"/>
        <v>0</v>
      </c>
      <c r="AJ378" s="18">
        <f t="shared" si="307"/>
        <v>0</v>
      </c>
      <c r="AK378" s="18">
        <f t="shared" si="307"/>
        <v>0</v>
      </c>
      <c r="AL378" s="18">
        <f t="shared" si="307"/>
        <v>0</v>
      </c>
      <c r="AM378" s="18">
        <f t="shared" si="307"/>
        <v>0</v>
      </c>
    </row>
    <row r="379" spans="1:39" s="2" customFormat="1" ht="78.75" outlineLevel="2" x14ac:dyDescent="0.25">
      <c r="A379" s="8" t="s">
        <v>255</v>
      </c>
      <c r="B379" s="33" t="s">
        <v>25</v>
      </c>
      <c r="C379" s="26" t="s">
        <v>377</v>
      </c>
      <c r="D379" s="26" t="s">
        <v>118</v>
      </c>
      <c r="E379" s="20">
        <f>SUM(F379:I379)</f>
        <v>468.3</v>
      </c>
      <c r="F379" s="38">
        <f>K379+P379+U379</f>
        <v>0</v>
      </c>
      <c r="G379" s="38">
        <f>L379+Q379+V379+AA379+AF379+AK379</f>
        <v>0</v>
      </c>
      <c r="H379" s="38">
        <f>M379+R379+W379+AB379+AG379+AL379</f>
        <v>468.3</v>
      </c>
      <c r="I379" s="38">
        <f>N379+S379+X379+AC379+AH379+AM379</f>
        <v>0</v>
      </c>
      <c r="J379" s="18">
        <f>SUM(K379:N379)</f>
        <v>0</v>
      </c>
      <c r="K379" s="19">
        <v>0</v>
      </c>
      <c r="L379" s="19">
        <v>0</v>
      </c>
      <c r="M379" s="19">
        <v>0</v>
      </c>
      <c r="N379" s="19">
        <v>0</v>
      </c>
      <c r="O379" s="18">
        <f>SUM(P379:S379)</f>
        <v>468.3</v>
      </c>
      <c r="P379" s="19">
        <v>0</v>
      </c>
      <c r="Q379" s="19">
        <v>0</v>
      </c>
      <c r="R379" s="19">
        <v>468.3</v>
      </c>
      <c r="S379" s="19">
        <v>0</v>
      </c>
      <c r="T379" s="18">
        <f>SUM(U379:X379)</f>
        <v>0</v>
      </c>
      <c r="U379" s="19">
        <v>0</v>
      </c>
      <c r="V379" s="19">
        <v>0</v>
      </c>
      <c r="W379" s="19">
        <v>0</v>
      </c>
      <c r="X379" s="19">
        <v>0</v>
      </c>
      <c r="Y379" s="18">
        <f>SUM(Z379:AC379)</f>
        <v>0</v>
      </c>
      <c r="Z379" s="19">
        <v>0</v>
      </c>
      <c r="AA379" s="19">
        <v>0</v>
      </c>
      <c r="AB379" s="19">
        <v>0</v>
      </c>
      <c r="AC379" s="19">
        <v>0</v>
      </c>
      <c r="AD379" s="18">
        <f>SUM(AE379:AH379)</f>
        <v>0</v>
      </c>
      <c r="AE379" s="19">
        <v>0</v>
      </c>
      <c r="AF379" s="19">
        <v>0</v>
      </c>
      <c r="AG379" s="19">
        <v>0</v>
      </c>
      <c r="AH379" s="19">
        <v>0</v>
      </c>
      <c r="AI379" s="18">
        <f>SUM(AJ379:AM379)</f>
        <v>0</v>
      </c>
      <c r="AJ379" s="19">
        <v>0</v>
      </c>
      <c r="AK379" s="19">
        <v>0</v>
      </c>
      <c r="AL379" s="19">
        <v>0</v>
      </c>
      <c r="AM379" s="19">
        <v>0</v>
      </c>
    </row>
    <row r="380" spans="1:39" s="5" customFormat="1" ht="40.5" customHeight="1" outlineLevel="1" x14ac:dyDescent="0.25">
      <c r="A380" s="138" t="s">
        <v>256</v>
      </c>
      <c r="B380" s="173" t="s">
        <v>26</v>
      </c>
      <c r="C380" s="174"/>
      <c r="D380" s="174"/>
      <c r="E380" s="18">
        <f>SUM(E381:E382)</f>
        <v>98408.1</v>
      </c>
      <c r="F380" s="18">
        <f t="shared" ref="F380:AM380" si="308">SUM(F381:F382)</f>
        <v>0</v>
      </c>
      <c r="G380" s="18">
        <f t="shared" si="308"/>
        <v>0</v>
      </c>
      <c r="H380" s="18">
        <f t="shared" si="308"/>
        <v>98408.1</v>
      </c>
      <c r="I380" s="18">
        <f t="shared" si="308"/>
        <v>0</v>
      </c>
      <c r="J380" s="18">
        <f t="shared" si="308"/>
        <v>16854.100000000002</v>
      </c>
      <c r="K380" s="18">
        <f t="shared" si="308"/>
        <v>0</v>
      </c>
      <c r="L380" s="18">
        <f t="shared" si="308"/>
        <v>0</v>
      </c>
      <c r="M380" s="18">
        <f t="shared" si="308"/>
        <v>16854.100000000002</v>
      </c>
      <c r="N380" s="18">
        <f t="shared" si="308"/>
        <v>0</v>
      </c>
      <c r="O380" s="18">
        <f t="shared" si="308"/>
        <v>43369.4</v>
      </c>
      <c r="P380" s="18">
        <f t="shared" si="308"/>
        <v>0</v>
      </c>
      <c r="Q380" s="18">
        <f t="shared" si="308"/>
        <v>0</v>
      </c>
      <c r="R380" s="18">
        <f>SUM(R381:R382)</f>
        <v>43369.4</v>
      </c>
      <c r="S380" s="18">
        <f t="shared" si="308"/>
        <v>0</v>
      </c>
      <c r="T380" s="18">
        <f t="shared" si="308"/>
        <v>38184.600000000006</v>
      </c>
      <c r="U380" s="18">
        <f t="shared" si="308"/>
        <v>0</v>
      </c>
      <c r="V380" s="18">
        <f t="shared" si="308"/>
        <v>0</v>
      </c>
      <c r="W380" s="18">
        <f>SUM(W381:W382)</f>
        <v>38184.600000000006</v>
      </c>
      <c r="X380" s="18">
        <f t="shared" si="308"/>
        <v>0</v>
      </c>
      <c r="Y380" s="18">
        <f t="shared" si="308"/>
        <v>0</v>
      </c>
      <c r="Z380" s="18">
        <f t="shared" si="308"/>
        <v>0</v>
      </c>
      <c r="AA380" s="18">
        <f t="shared" si="308"/>
        <v>0</v>
      </c>
      <c r="AB380" s="18">
        <f t="shared" si="308"/>
        <v>0</v>
      </c>
      <c r="AC380" s="18">
        <f t="shared" si="308"/>
        <v>0</v>
      </c>
      <c r="AD380" s="18">
        <f t="shared" si="308"/>
        <v>0</v>
      </c>
      <c r="AE380" s="18">
        <f t="shared" si="308"/>
        <v>0</v>
      </c>
      <c r="AF380" s="18">
        <f t="shared" si="308"/>
        <v>0</v>
      </c>
      <c r="AG380" s="18">
        <f t="shared" si="308"/>
        <v>0</v>
      </c>
      <c r="AH380" s="18">
        <f t="shared" si="308"/>
        <v>0</v>
      </c>
      <c r="AI380" s="18">
        <f t="shared" si="308"/>
        <v>0</v>
      </c>
      <c r="AJ380" s="18">
        <f t="shared" si="308"/>
        <v>0</v>
      </c>
      <c r="AK380" s="18">
        <f t="shared" si="308"/>
        <v>0</v>
      </c>
      <c r="AL380" s="18">
        <f t="shared" si="308"/>
        <v>0</v>
      </c>
      <c r="AM380" s="18">
        <f t="shared" si="308"/>
        <v>0</v>
      </c>
    </row>
    <row r="381" spans="1:39" s="2" customFormat="1" ht="110.25" outlineLevel="2" x14ac:dyDescent="0.25">
      <c r="A381" s="8" t="s">
        <v>365</v>
      </c>
      <c r="B381" s="33" t="s">
        <v>27</v>
      </c>
      <c r="C381" s="26" t="s">
        <v>377</v>
      </c>
      <c r="D381" s="26" t="s">
        <v>8</v>
      </c>
      <c r="E381" s="20">
        <f>SUM(F381:I381)</f>
        <v>98153.700000000012</v>
      </c>
      <c r="F381" s="38">
        <f>K381+P381+U381</f>
        <v>0</v>
      </c>
      <c r="G381" s="38">
        <f t="shared" ref="G381:I382" si="309">L381+Q381+V381+AA381+AF381+AK381</f>
        <v>0</v>
      </c>
      <c r="H381" s="38">
        <f t="shared" si="309"/>
        <v>98153.700000000012</v>
      </c>
      <c r="I381" s="38">
        <f t="shared" si="309"/>
        <v>0</v>
      </c>
      <c r="J381" s="18">
        <f>SUM(K381:N381)</f>
        <v>16782.400000000001</v>
      </c>
      <c r="K381" s="19">
        <v>0</v>
      </c>
      <c r="L381" s="19">
        <v>0</v>
      </c>
      <c r="M381" s="38">
        <v>16782.400000000001</v>
      </c>
      <c r="N381" s="19">
        <v>0</v>
      </c>
      <c r="O381" s="18">
        <f>SUM(P381:S381)</f>
        <v>43271.5</v>
      </c>
      <c r="P381" s="19">
        <v>0</v>
      </c>
      <c r="Q381" s="19">
        <v>0</v>
      </c>
      <c r="R381" s="19">
        <f>57371.2-14099.7</f>
        <v>43271.5</v>
      </c>
      <c r="S381" s="19">
        <v>0</v>
      </c>
      <c r="T381" s="18">
        <f>SUM(U381:X381)</f>
        <v>38099.800000000003</v>
      </c>
      <c r="U381" s="19">
        <v>0</v>
      </c>
      <c r="V381" s="19">
        <v>0</v>
      </c>
      <c r="W381" s="19">
        <f>24000+14099.8</f>
        <v>38099.800000000003</v>
      </c>
      <c r="X381" s="19">
        <v>0</v>
      </c>
      <c r="Y381" s="18">
        <f>SUM(Z381:AC381)</f>
        <v>0</v>
      </c>
      <c r="Z381" s="19">
        <v>0</v>
      </c>
      <c r="AA381" s="19">
        <v>0</v>
      </c>
      <c r="AB381" s="19">
        <v>0</v>
      </c>
      <c r="AC381" s="19">
        <v>0</v>
      </c>
      <c r="AD381" s="18">
        <f>SUM(AE381:AH381)</f>
        <v>0</v>
      </c>
      <c r="AE381" s="19">
        <v>0</v>
      </c>
      <c r="AF381" s="19">
        <v>0</v>
      </c>
      <c r="AG381" s="19">
        <v>0</v>
      </c>
      <c r="AH381" s="19">
        <v>0</v>
      </c>
      <c r="AI381" s="18">
        <f>SUM(AJ381:AM381)</f>
        <v>0</v>
      </c>
      <c r="AJ381" s="19">
        <v>0</v>
      </c>
      <c r="AK381" s="19">
        <v>0</v>
      </c>
      <c r="AL381" s="19">
        <v>0</v>
      </c>
      <c r="AM381" s="19">
        <v>0</v>
      </c>
    </row>
    <row r="382" spans="1:39" s="2" customFormat="1" ht="78.75" outlineLevel="2" x14ac:dyDescent="0.25">
      <c r="A382" s="8" t="s">
        <v>366</v>
      </c>
      <c r="B382" s="53" t="s">
        <v>362</v>
      </c>
      <c r="C382" s="26" t="s">
        <v>31</v>
      </c>
      <c r="D382" s="31" t="s">
        <v>8</v>
      </c>
      <c r="E382" s="20">
        <f>SUM(F382:I382)</f>
        <v>254.4</v>
      </c>
      <c r="F382" s="38">
        <f>K382+P382+U382+Z382+AE382+AJ382</f>
        <v>0</v>
      </c>
      <c r="G382" s="38">
        <f t="shared" si="309"/>
        <v>0</v>
      </c>
      <c r="H382" s="38">
        <f t="shared" si="309"/>
        <v>254.4</v>
      </c>
      <c r="I382" s="38">
        <f t="shared" si="309"/>
        <v>0</v>
      </c>
      <c r="J382" s="18">
        <f>SUM(K382:N382)</f>
        <v>71.7</v>
      </c>
      <c r="K382" s="19">
        <v>0</v>
      </c>
      <c r="L382" s="19">
        <v>0</v>
      </c>
      <c r="M382" s="19">
        <v>71.7</v>
      </c>
      <c r="N382" s="19">
        <v>0</v>
      </c>
      <c r="O382" s="18">
        <f>SUM(P382:S382)</f>
        <v>97.899999999999991</v>
      </c>
      <c r="P382" s="19">
        <v>0</v>
      </c>
      <c r="Q382" s="19">
        <v>0</v>
      </c>
      <c r="R382" s="19">
        <f>80.1+17.8</f>
        <v>97.899999999999991</v>
      </c>
      <c r="S382" s="19">
        <v>0</v>
      </c>
      <c r="T382" s="18">
        <f t="shared" ref="T382:T388" si="310">SUM(U382:X382)</f>
        <v>84.800000000000011</v>
      </c>
      <c r="U382" s="19">
        <v>0</v>
      </c>
      <c r="V382" s="19">
        <v>0</v>
      </c>
      <c r="W382" s="19">
        <f>38.7+46.1</f>
        <v>84.800000000000011</v>
      </c>
      <c r="X382" s="19">
        <v>0</v>
      </c>
      <c r="Y382" s="18">
        <f>SUM(Z382:AC382)</f>
        <v>0</v>
      </c>
      <c r="Z382" s="19">
        <v>0</v>
      </c>
      <c r="AA382" s="19">
        <v>0</v>
      </c>
      <c r="AB382" s="19">
        <v>0</v>
      </c>
      <c r="AC382" s="19">
        <v>0</v>
      </c>
      <c r="AD382" s="18">
        <f>SUM(AE382:AH382)</f>
        <v>0</v>
      </c>
      <c r="AE382" s="19">
        <v>0</v>
      </c>
      <c r="AF382" s="19">
        <v>0</v>
      </c>
      <c r="AG382" s="19">
        <v>0</v>
      </c>
      <c r="AH382" s="19">
        <v>0</v>
      </c>
      <c r="AI382" s="18">
        <f>SUM(AJ382:AM382)</f>
        <v>0</v>
      </c>
      <c r="AJ382" s="19">
        <v>0</v>
      </c>
      <c r="AK382" s="19">
        <v>0</v>
      </c>
      <c r="AL382" s="19">
        <v>0</v>
      </c>
      <c r="AM382" s="19">
        <v>0</v>
      </c>
    </row>
    <row r="383" spans="1:39" s="5" customFormat="1" ht="37.5" customHeight="1" outlineLevel="1" x14ac:dyDescent="0.25">
      <c r="A383" s="138" t="s">
        <v>257</v>
      </c>
      <c r="B383" s="173" t="s">
        <v>538</v>
      </c>
      <c r="C383" s="174"/>
      <c r="D383" s="174"/>
      <c r="E383" s="18">
        <f t="shared" ref="E383:AM383" si="311">SUM(E384:E388)</f>
        <v>12988.4</v>
      </c>
      <c r="F383" s="18">
        <f t="shared" si="311"/>
        <v>0</v>
      </c>
      <c r="G383" s="18">
        <f t="shared" si="311"/>
        <v>0</v>
      </c>
      <c r="H383" s="18">
        <f t="shared" si="311"/>
        <v>12988.4</v>
      </c>
      <c r="I383" s="18">
        <f t="shared" si="311"/>
        <v>0</v>
      </c>
      <c r="J383" s="18">
        <f t="shared" si="311"/>
        <v>3938.1000000000004</v>
      </c>
      <c r="K383" s="18">
        <f t="shared" si="311"/>
        <v>0</v>
      </c>
      <c r="L383" s="18">
        <f t="shared" si="311"/>
        <v>0</v>
      </c>
      <c r="M383" s="18">
        <f t="shared" si="311"/>
        <v>3938.1000000000004</v>
      </c>
      <c r="N383" s="18">
        <f t="shared" si="311"/>
        <v>0</v>
      </c>
      <c r="O383" s="18">
        <f t="shared" si="311"/>
        <v>795.5</v>
      </c>
      <c r="P383" s="18">
        <f t="shared" si="311"/>
        <v>0</v>
      </c>
      <c r="Q383" s="18">
        <f t="shared" si="311"/>
        <v>0</v>
      </c>
      <c r="R383" s="18">
        <f>SUM(R384:R388)</f>
        <v>795.5</v>
      </c>
      <c r="S383" s="18">
        <f t="shared" si="311"/>
        <v>0</v>
      </c>
      <c r="T383" s="18">
        <f t="shared" si="311"/>
        <v>8254.7999999999993</v>
      </c>
      <c r="U383" s="18">
        <f t="shared" si="311"/>
        <v>0</v>
      </c>
      <c r="V383" s="18">
        <f t="shared" si="311"/>
        <v>0</v>
      </c>
      <c r="W383" s="18">
        <f t="shared" si="311"/>
        <v>8254.7999999999993</v>
      </c>
      <c r="X383" s="18">
        <f t="shared" si="311"/>
        <v>0</v>
      </c>
      <c r="Y383" s="18">
        <f t="shared" si="311"/>
        <v>0</v>
      </c>
      <c r="Z383" s="18">
        <f t="shared" si="311"/>
        <v>0</v>
      </c>
      <c r="AA383" s="18">
        <f t="shared" si="311"/>
        <v>0</v>
      </c>
      <c r="AB383" s="18">
        <f t="shared" si="311"/>
        <v>0</v>
      </c>
      <c r="AC383" s="18">
        <f t="shared" si="311"/>
        <v>0</v>
      </c>
      <c r="AD383" s="18">
        <f t="shared" si="311"/>
        <v>0</v>
      </c>
      <c r="AE383" s="18">
        <f t="shared" si="311"/>
        <v>0</v>
      </c>
      <c r="AF383" s="18">
        <f t="shared" si="311"/>
        <v>0</v>
      </c>
      <c r="AG383" s="18">
        <f t="shared" si="311"/>
        <v>0</v>
      </c>
      <c r="AH383" s="18">
        <f t="shared" si="311"/>
        <v>0</v>
      </c>
      <c r="AI383" s="18">
        <f t="shared" si="311"/>
        <v>0</v>
      </c>
      <c r="AJ383" s="18">
        <f t="shared" si="311"/>
        <v>0</v>
      </c>
      <c r="AK383" s="18">
        <f t="shared" si="311"/>
        <v>0</v>
      </c>
      <c r="AL383" s="18">
        <f t="shared" si="311"/>
        <v>0</v>
      </c>
      <c r="AM383" s="18">
        <f t="shared" si="311"/>
        <v>0</v>
      </c>
    </row>
    <row r="384" spans="1:39" s="2" customFormat="1" ht="78.75" outlineLevel="2" x14ac:dyDescent="0.25">
      <c r="A384" s="8" t="s">
        <v>258</v>
      </c>
      <c r="B384" s="33" t="s">
        <v>116</v>
      </c>
      <c r="C384" s="26" t="s">
        <v>377</v>
      </c>
      <c r="D384" s="26" t="s">
        <v>8</v>
      </c>
      <c r="E384" s="20">
        <f>SUM(F384:I384)</f>
        <v>363</v>
      </c>
      <c r="F384" s="38">
        <f>K384+P384+U384</f>
        <v>0</v>
      </c>
      <c r="G384" s="38">
        <f t="shared" ref="G384:I388" si="312">L384+Q384+V384+AA384+AF384+AK384</f>
        <v>0</v>
      </c>
      <c r="H384" s="38">
        <f t="shared" si="312"/>
        <v>363</v>
      </c>
      <c r="I384" s="38">
        <f t="shared" si="312"/>
        <v>0</v>
      </c>
      <c r="J384" s="18">
        <f>SUM(K384:N384)</f>
        <v>97.6</v>
      </c>
      <c r="K384" s="19">
        <v>0</v>
      </c>
      <c r="L384" s="19">
        <v>0</v>
      </c>
      <c r="M384" s="19">
        <v>97.6</v>
      </c>
      <c r="N384" s="19">
        <v>0</v>
      </c>
      <c r="O384" s="18">
        <f t="shared" ref="O384:O407" si="313">SUM(P384:S384)</f>
        <v>265.39999999999998</v>
      </c>
      <c r="P384" s="19">
        <v>0</v>
      </c>
      <c r="Q384" s="19">
        <v>0</v>
      </c>
      <c r="R384" s="19">
        <f>206.2+59.2</f>
        <v>265.39999999999998</v>
      </c>
      <c r="S384" s="19">
        <v>0</v>
      </c>
      <c r="T384" s="18">
        <f t="shared" si="310"/>
        <v>0</v>
      </c>
      <c r="U384" s="19">
        <v>0</v>
      </c>
      <c r="V384" s="19">
        <v>0</v>
      </c>
      <c r="W384" s="19">
        <v>0</v>
      </c>
      <c r="X384" s="19">
        <v>0</v>
      </c>
      <c r="Y384" s="18">
        <f>SUM(Z384:AC384)</f>
        <v>0</v>
      </c>
      <c r="Z384" s="19">
        <v>0</v>
      </c>
      <c r="AA384" s="19">
        <v>0</v>
      </c>
      <c r="AB384" s="19">
        <v>0</v>
      </c>
      <c r="AC384" s="19">
        <v>0</v>
      </c>
      <c r="AD384" s="18">
        <f>SUM(AE384:AH384)</f>
        <v>0</v>
      </c>
      <c r="AE384" s="19">
        <v>0</v>
      </c>
      <c r="AF384" s="19">
        <v>0</v>
      </c>
      <c r="AG384" s="19">
        <v>0</v>
      </c>
      <c r="AH384" s="19">
        <v>0</v>
      </c>
      <c r="AI384" s="18">
        <f>SUM(AJ384:AM384)</f>
        <v>0</v>
      </c>
      <c r="AJ384" s="19">
        <v>0</v>
      </c>
      <c r="AK384" s="19">
        <v>0</v>
      </c>
      <c r="AL384" s="19">
        <v>0</v>
      </c>
      <c r="AM384" s="19">
        <v>0</v>
      </c>
    </row>
    <row r="385" spans="1:39" s="2" customFormat="1" ht="78.75" outlineLevel="2" x14ac:dyDescent="0.25">
      <c r="A385" s="8" t="s">
        <v>259</v>
      </c>
      <c r="B385" s="34" t="s">
        <v>300</v>
      </c>
      <c r="C385" s="26" t="s">
        <v>377</v>
      </c>
      <c r="D385" s="26" t="s">
        <v>8</v>
      </c>
      <c r="E385" s="20">
        <f>SUM(F385:I385)</f>
        <v>3408.2000000000003</v>
      </c>
      <c r="F385" s="38">
        <f>K385+P385+U385</f>
        <v>0</v>
      </c>
      <c r="G385" s="38">
        <f t="shared" si="312"/>
        <v>0</v>
      </c>
      <c r="H385" s="38">
        <f t="shared" si="312"/>
        <v>3408.2000000000003</v>
      </c>
      <c r="I385" s="38">
        <f t="shared" si="312"/>
        <v>0</v>
      </c>
      <c r="J385" s="18">
        <f>SUM(K385:N385)</f>
        <v>3408.2000000000003</v>
      </c>
      <c r="K385" s="19">
        <v>0</v>
      </c>
      <c r="L385" s="19">
        <v>0</v>
      </c>
      <c r="M385" s="19">
        <f>3425.3-17.1</f>
        <v>3408.2000000000003</v>
      </c>
      <c r="N385" s="19">
        <v>0</v>
      </c>
      <c r="O385" s="18">
        <f t="shared" si="313"/>
        <v>0</v>
      </c>
      <c r="P385" s="19">
        <v>0</v>
      </c>
      <c r="Q385" s="19">
        <v>0</v>
      </c>
      <c r="R385" s="19">
        <v>0</v>
      </c>
      <c r="S385" s="19">
        <v>0</v>
      </c>
      <c r="T385" s="18">
        <f t="shared" si="310"/>
        <v>0</v>
      </c>
      <c r="U385" s="19">
        <v>0</v>
      </c>
      <c r="V385" s="19">
        <v>0</v>
      </c>
      <c r="W385" s="19">
        <v>0</v>
      </c>
      <c r="X385" s="19">
        <v>0</v>
      </c>
      <c r="Y385" s="18">
        <f>SUM(Z385:AC385)</f>
        <v>0</v>
      </c>
      <c r="Z385" s="19">
        <v>0</v>
      </c>
      <c r="AA385" s="19">
        <v>0</v>
      </c>
      <c r="AB385" s="19">
        <v>0</v>
      </c>
      <c r="AC385" s="19">
        <v>0</v>
      </c>
      <c r="AD385" s="18">
        <f>SUM(AE385:AH385)</f>
        <v>0</v>
      </c>
      <c r="AE385" s="19">
        <v>0</v>
      </c>
      <c r="AF385" s="19">
        <v>0</v>
      </c>
      <c r="AG385" s="19">
        <v>0</v>
      </c>
      <c r="AH385" s="19">
        <v>0</v>
      </c>
      <c r="AI385" s="18">
        <f>SUM(AJ385:AM385)</f>
        <v>0</v>
      </c>
      <c r="AJ385" s="19">
        <v>0</v>
      </c>
      <c r="AK385" s="19">
        <v>0</v>
      </c>
      <c r="AL385" s="19">
        <v>0</v>
      </c>
      <c r="AM385" s="19">
        <v>0</v>
      </c>
    </row>
    <row r="386" spans="1:39" s="2" customFormat="1" ht="78.75" outlineLevel="2" x14ac:dyDescent="0.25">
      <c r="A386" s="8" t="s">
        <v>299</v>
      </c>
      <c r="B386" s="34" t="s">
        <v>317</v>
      </c>
      <c r="C386" s="26" t="s">
        <v>377</v>
      </c>
      <c r="D386" s="26" t="s">
        <v>8</v>
      </c>
      <c r="E386" s="20">
        <f>SUM(F386:I386)</f>
        <v>152.19999999999999</v>
      </c>
      <c r="F386" s="38">
        <f>K386+P386+U386</f>
        <v>0</v>
      </c>
      <c r="G386" s="38">
        <f t="shared" si="312"/>
        <v>0</v>
      </c>
      <c r="H386" s="38">
        <f t="shared" si="312"/>
        <v>152.19999999999999</v>
      </c>
      <c r="I386" s="38">
        <f t="shared" si="312"/>
        <v>0</v>
      </c>
      <c r="J386" s="18">
        <f>SUM(K386:N386)</f>
        <v>72</v>
      </c>
      <c r="K386" s="19">
        <v>0</v>
      </c>
      <c r="L386" s="19">
        <v>0</v>
      </c>
      <c r="M386" s="19">
        <v>72</v>
      </c>
      <c r="N386" s="19">
        <v>0</v>
      </c>
      <c r="O386" s="18">
        <f t="shared" si="313"/>
        <v>80.2</v>
      </c>
      <c r="P386" s="19">
        <v>0</v>
      </c>
      <c r="Q386" s="19">
        <v>0</v>
      </c>
      <c r="R386" s="19">
        <v>80.2</v>
      </c>
      <c r="S386" s="19">
        <v>0</v>
      </c>
      <c r="T386" s="18">
        <f t="shared" si="310"/>
        <v>0</v>
      </c>
      <c r="U386" s="19">
        <v>0</v>
      </c>
      <c r="V386" s="19">
        <v>0</v>
      </c>
      <c r="W386" s="19">
        <v>0</v>
      </c>
      <c r="X386" s="19">
        <v>0</v>
      </c>
      <c r="Y386" s="18">
        <f>SUM(Z386:AC386)</f>
        <v>0</v>
      </c>
      <c r="Z386" s="19">
        <v>0</v>
      </c>
      <c r="AA386" s="19">
        <v>0</v>
      </c>
      <c r="AB386" s="19">
        <v>0</v>
      </c>
      <c r="AC386" s="19">
        <v>0</v>
      </c>
      <c r="AD386" s="18">
        <f>SUM(AE386:AH386)</f>
        <v>0</v>
      </c>
      <c r="AE386" s="19">
        <v>0</v>
      </c>
      <c r="AF386" s="19">
        <v>0</v>
      </c>
      <c r="AG386" s="19">
        <v>0</v>
      </c>
      <c r="AH386" s="19">
        <v>0</v>
      </c>
      <c r="AI386" s="18">
        <f>SUM(AJ386:AM386)</f>
        <v>0</v>
      </c>
      <c r="AJ386" s="19">
        <v>0</v>
      </c>
      <c r="AK386" s="19">
        <v>0</v>
      </c>
      <c r="AL386" s="19">
        <v>0</v>
      </c>
      <c r="AM386" s="19">
        <v>0</v>
      </c>
    </row>
    <row r="387" spans="1:39" s="2" customFormat="1" ht="47.25" outlineLevel="2" x14ac:dyDescent="0.25">
      <c r="A387" s="8" t="s">
        <v>433</v>
      </c>
      <c r="B387" s="34" t="s">
        <v>509</v>
      </c>
      <c r="C387" s="26" t="s">
        <v>32</v>
      </c>
      <c r="D387" s="26" t="s">
        <v>8</v>
      </c>
      <c r="E387" s="20">
        <f>SUM(F387:I387)</f>
        <v>8254.7999999999993</v>
      </c>
      <c r="F387" s="38">
        <f>K387+P387+U387</f>
        <v>0</v>
      </c>
      <c r="G387" s="38">
        <f t="shared" si="312"/>
        <v>0</v>
      </c>
      <c r="H387" s="38">
        <f t="shared" si="312"/>
        <v>8254.7999999999993</v>
      </c>
      <c r="I387" s="38">
        <f t="shared" si="312"/>
        <v>0</v>
      </c>
      <c r="J387" s="18">
        <f>SUM(K387:N387)</f>
        <v>0</v>
      </c>
      <c r="K387" s="19">
        <v>0</v>
      </c>
      <c r="L387" s="19">
        <v>0</v>
      </c>
      <c r="M387" s="19">
        <v>0</v>
      </c>
      <c r="N387" s="19">
        <v>0</v>
      </c>
      <c r="O387" s="18">
        <f>SUM(P387:S387)</f>
        <v>0</v>
      </c>
      <c r="P387" s="19">
        <v>0</v>
      </c>
      <c r="Q387" s="19">
        <v>0</v>
      </c>
      <c r="R387" s="19">
        <f>8254.8-8254.8</f>
        <v>0</v>
      </c>
      <c r="S387" s="19">
        <v>0</v>
      </c>
      <c r="T387" s="18">
        <f>SUM(U387:X387)</f>
        <v>8254.7999999999993</v>
      </c>
      <c r="U387" s="19">
        <v>0</v>
      </c>
      <c r="V387" s="19">
        <v>0</v>
      </c>
      <c r="W387" s="19">
        <v>8254.7999999999993</v>
      </c>
      <c r="X387" s="19">
        <v>0</v>
      </c>
      <c r="Y387" s="18">
        <f>SUM(Z387:AC387)</f>
        <v>0</v>
      </c>
      <c r="Z387" s="19">
        <v>0</v>
      </c>
      <c r="AA387" s="19">
        <v>0</v>
      </c>
      <c r="AB387" s="19">
        <v>0</v>
      </c>
      <c r="AC387" s="19">
        <v>0</v>
      </c>
      <c r="AD387" s="18">
        <f>SUM(AE387:AH387)</f>
        <v>0</v>
      </c>
      <c r="AE387" s="19">
        <v>0</v>
      </c>
      <c r="AF387" s="19">
        <v>0</v>
      </c>
      <c r="AG387" s="19">
        <v>0</v>
      </c>
      <c r="AH387" s="19">
        <v>0</v>
      </c>
      <c r="AI387" s="18">
        <f>SUM(AJ387:AM387)</f>
        <v>0</v>
      </c>
      <c r="AJ387" s="19">
        <v>0</v>
      </c>
      <c r="AK387" s="19">
        <v>0</v>
      </c>
      <c r="AL387" s="19">
        <v>0</v>
      </c>
      <c r="AM387" s="19">
        <v>0</v>
      </c>
    </row>
    <row r="388" spans="1:39" s="2" customFormat="1" ht="63" outlineLevel="2" x14ac:dyDescent="0.25">
      <c r="A388" s="8" t="s">
        <v>508</v>
      </c>
      <c r="B388" s="34" t="s">
        <v>739</v>
      </c>
      <c r="C388" s="26" t="s">
        <v>32</v>
      </c>
      <c r="D388" s="26" t="s">
        <v>8</v>
      </c>
      <c r="E388" s="20">
        <f>SUM(F388:I388)</f>
        <v>810.2</v>
      </c>
      <c r="F388" s="38">
        <f>K388+P388+U388</f>
        <v>0</v>
      </c>
      <c r="G388" s="38">
        <f t="shared" si="312"/>
        <v>0</v>
      </c>
      <c r="H388" s="38">
        <f t="shared" si="312"/>
        <v>810.2</v>
      </c>
      <c r="I388" s="38">
        <f t="shared" si="312"/>
        <v>0</v>
      </c>
      <c r="J388" s="18">
        <f>SUM(K388:N388)</f>
        <v>360.3</v>
      </c>
      <c r="K388" s="19">
        <v>0</v>
      </c>
      <c r="L388" s="19">
        <v>0</v>
      </c>
      <c r="M388" s="19">
        <v>360.3</v>
      </c>
      <c r="N388" s="19">
        <v>0</v>
      </c>
      <c r="O388" s="18">
        <f t="shared" si="313"/>
        <v>449.9</v>
      </c>
      <c r="P388" s="19">
        <v>0</v>
      </c>
      <c r="Q388" s="19">
        <v>0</v>
      </c>
      <c r="R388" s="19">
        <f>769.7+360.3-680.1</f>
        <v>449.9</v>
      </c>
      <c r="S388" s="19">
        <v>0</v>
      </c>
      <c r="T388" s="18">
        <f t="shared" si="310"/>
        <v>0</v>
      </c>
      <c r="U388" s="19">
        <v>0</v>
      </c>
      <c r="V388" s="19">
        <v>0</v>
      </c>
      <c r="W388" s="19">
        <v>0</v>
      </c>
      <c r="X388" s="19">
        <v>0</v>
      </c>
      <c r="Y388" s="18">
        <f>SUM(Z388:AC388)</f>
        <v>0</v>
      </c>
      <c r="Z388" s="19">
        <v>0</v>
      </c>
      <c r="AA388" s="19">
        <v>0</v>
      </c>
      <c r="AB388" s="19">
        <v>0</v>
      </c>
      <c r="AC388" s="19">
        <v>0</v>
      </c>
      <c r="AD388" s="18">
        <f>SUM(AE388:AH388)</f>
        <v>0</v>
      </c>
      <c r="AE388" s="19">
        <v>0</v>
      </c>
      <c r="AF388" s="19">
        <v>0</v>
      </c>
      <c r="AG388" s="19">
        <v>0</v>
      </c>
      <c r="AH388" s="19">
        <v>0</v>
      </c>
      <c r="AI388" s="18">
        <f>SUM(AJ388:AM388)</f>
        <v>0</v>
      </c>
      <c r="AJ388" s="19">
        <v>0</v>
      </c>
      <c r="AK388" s="19">
        <v>0</v>
      </c>
      <c r="AL388" s="19">
        <v>0</v>
      </c>
      <c r="AM388" s="19">
        <v>0</v>
      </c>
    </row>
    <row r="389" spans="1:39" s="2" customFormat="1" ht="63" customHeight="1" outlineLevel="1" x14ac:dyDescent="0.25">
      <c r="A389" s="138" t="s">
        <v>274</v>
      </c>
      <c r="B389" s="183" t="s">
        <v>284</v>
      </c>
      <c r="C389" s="180"/>
      <c r="D389" s="181"/>
      <c r="E389" s="20">
        <f>E390+E391+E392</f>
        <v>712.4</v>
      </c>
      <c r="F389" s="20">
        <f t="shared" ref="F389:AM389" si="314">F390+F391+F392</f>
        <v>0</v>
      </c>
      <c r="G389" s="20">
        <f t="shared" si="314"/>
        <v>0</v>
      </c>
      <c r="H389" s="20">
        <f t="shared" si="314"/>
        <v>712.4</v>
      </c>
      <c r="I389" s="20">
        <f t="shared" si="314"/>
        <v>0</v>
      </c>
      <c r="J389" s="20">
        <f t="shared" si="314"/>
        <v>200</v>
      </c>
      <c r="K389" s="20">
        <f t="shared" si="314"/>
        <v>0</v>
      </c>
      <c r="L389" s="20">
        <f t="shared" si="314"/>
        <v>0</v>
      </c>
      <c r="M389" s="20">
        <f t="shared" si="314"/>
        <v>200</v>
      </c>
      <c r="N389" s="20">
        <f t="shared" si="314"/>
        <v>0</v>
      </c>
      <c r="O389" s="20">
        <f t="shared" si="314"/>
        <v>90.2</v>
      </c>
      <c r="P389" s="20">
        <f t="shared" si="314"/>
        <v>0</v>
      </c>
      <c r="Q389" s="20">
        <f t="shared" si="314"/>
        <v>0</v>
      </c>
      <c r="R389" s="20">
        <f t="shared" si="314"/>
        <v>90.2</v>
      </c>
      <c r="S389" s="20">
        <f t="shared" si="314"/>
        <v>0</v>
      </c>
      <c r="T389" s="20">
        <f t="shared" si="314"/>
        <v>422.2</v>
      </c>
      <c r="U389" s="20">
        <f t="shared" si="314"/>
        <v>0</v>
      </c>
      <c r="V389" s="20">
        <f t="shared" si="314"/>
        <v>0</v>
      </c>
      <c r="W389" s="20">
        <f>W390+W391+W392</f>
        <v>422.2</v>
      </c>
      <c r="X389" s="20">
        <f t="shared" si="314"/>
        <v>0</v>
      </c>
      <c r="Y389" s="20">
        <f t="shared" si="314"/>
        <v>0</v>
      </c>
      <c r="Z389" s="20">
        <f t="shared" si="314"/>
        <v>0</v>
      </c>
      <c r="AA389" s="20">
        <f t="shared" si="314"/>
        <v>0</v>
      </c>
      <c r="AB389" s="20">
        <f t="shared" si="314"/>
        <v>0</v>
      </c>
      <c r="AC389" s="20">
        <f t="shared" si="314"/>
        <v>0</v>
      </c>
      <c r="AD389" s="20">
        <f t="shared" si="314"/>
        <v>0</v>
      </c>
      <c r="AE389" s="20">
        <f t="shared" si="314"/>
        <v>0</v>
      </c>
      <c r="AF389" s="20">
        <f t="shared" si="314"/>
        <v>0</v>
      </c>
      <c r="AG389" s="20">
        <f t="shared" si="314"/>
        <v>0</v>
      </c>
      <c r="AH389" s="20">
        <f t="shared" si="314"/>
        <v>0</v>
      </c>
      <c r="AI389" s="20">
        <f t="shared" si="314"/>
        <v>0</v>
      </c>
      <c r="AJ389" s="20">
        <f t="shared" si="314"/>
        <v>0</v>
      </c>
      <c r="AK389" s="20">
        <f t="shared" si="314"/>
        <v>0</v>
      </c>
      <c r="AL389" s="20">
        <f t="shared" si="314"/>
        <v>0</v>
      </c>
      <c r="AM389" s="20">
        <f t="shared" si="314"/>
        <v>0</v>
      </c>
    </row>
    <row r="390" spans="1:39" s="2" customFormat="1" ht="47.25" outlineLevel="2" x14ac:dyDescent="0.25">
      <c r="A390" s="8" t="s">
        <v>275</v>
      </c>
      <c r="B390" s="33" t="s">
        <v>279</v>
      </c>
      <c r="C390" s="26" t="s">
        <v>31</v>
      </c>
      <c r="D390" s="26" t="s">
        <v>118</v>
      </c>
      <c r="E390" s="20">
        <f>SUM(F390:I390)</f>
        <v>200</v>
      </c>
      <c r="F390" s="38">
        <f>K390+P390+U390</f>
        <v>0</v>
      </c>
      <c r="G390" s="38">
        <f t="shared" ref="G390:H392" si="315">L390+Q390+V390+AA390+AF390+AK390</f>
        <v>0</v>
      </c>
      <c r="H390" s="38">
        <f t="shared" si="315"/>
        <v>200</v>
      </c>
      <c r="I390" s="38">
        <f t="shared" ref="I390:I405" si="316">N390+S390+X390+AC390+AH390+AM390</f>
        <v>0</v>
      </c>
      <c r="J390" s="18">
        <f>SUM(K390:N390)</f>
        <v>200</v>
      </c>
      <c r="K390" s="19">
        <v>0</v>
      </c>
      <c r="L390" s="19">
        <v>0</v>
      </c>
      <c r="M390" s="19">
        <v>200</v>
      </c>
      <c r="N390" s="19">
        <v>0</v>
      </c>
      <c r="O390" s="18">
        <f>SUM(P390:S390)</f>
        <v>0</v>
      </c>
      <c r="P390" s="19">
        <v>0</v>
      </c>
      <c r="Q390" s="19">
        <v>0</v>
      </c>
      <c r="R390" s="19">
        <v>0</v>
      </c>
      <c r="S390" s="19">
        <v>0</v>
      </c>
      <c r="T390" s="18">
        <f>SUM(U390:X390)</f>
        <v>0</v>
      </c>
      <c r="U390" s="19">
        <v>0</v>
      </c>
      <c r="V390" s="19">
        <v>0</v>
      </c>
      <c r="W390" s="19">
        <v>0</v>
      </c>
      <c r="X390" s="19">
        <v>0</v>
      </c>
      <c r="Y390" s="18">
        <f>SUM(Z390:AC390)</f>
        <v>0</v>
      </c>
      <c r="Z390" s="19">
        <v>0</v>
      </c>
      <c r="AA390" s="19">
        <v>0</v>
      </c>
      <c r="AB390" s="19">
        <v>0</v>
      </c>
      <c r="AC390" s="19">
        <v>0</v>
      </c>
      <c r="AD390" s="18">
        <f t="shared" ref="AD390:AD405" si="317">SUM(AE390:AH390)</f>
        <v>0</v>
      </c>
      <c r="AE390" s="19">
        <v>0</v>
      </c>
      <c r="AF390" s="19">
        <v>0</v>
      </c>
      <c r="AG390" s="19">
        <v>0</v>
      </c>
      <c r="AH390" s="19">
        <v>0</v>
      </c>
      <c r="AI390" s="18">
        <f>SUM(AJ390:AM390)</f>
        <v>0</v>
      </c>
      <c r="AJ390" s="19">
        <v>0</v>
      </c>
      <c r="AK390" s="19">
        <v>0</v>
      </c>
      <c r="AL390" s="19">
        <v>0</v>
      </c>
      <c r="AM390" s="19">
        <v>0</v>
      </c>
    </row>
    <row r="391" spans="1:39" s="2" customFormat="1" ht="94.5" outlineLevel="2" x14ac:dyDescent="0.25">
      <c r="A391" s="8" t="s">
        <v>744</v>
      </c>
      <c r="B391" s="34" t="s">
        <v>745</v>
      </c>
      <c r="C391" s="26" t="s">
        <v>32</v>
      </c>
      <c r="D391" s="26" t="s">
        <v>118</v>
      </c>
      <c r="E391" s="20">
        <f>SUM(F391:I391)</f>
        <v>90.2</v>
      </c>
      <c r="F391" s="38">
        <f>K391+P391+U391</f>
        <v>0</v>
      </c>
      <c r="G391" s="38">
        <f t="shared" si="315"/>
        <v>0</v>
      </c>
      <c r="H391" s="38">
        <f t="shared" si="315"/>
        <v>90.2</v>
      </c>
      <c r="I391" s="38"/>
      <c r="J391" s="18">
        <f>SUM(K391:N391)</f>
        <v>0</v>
      </c>
      <c r="K391" s="19">
        <v>0</v>
      </c>
      <c r="L391" s="19">
        <v>0</v>
      </c>
      <c r="M391" s="19">
        <v>0</v>
      </c>
      <c r="N391" s="19">
        <v>0</v>
      </c>
      <c r="O391" s="18">
        <f>R391</f>
        <v>90.2</v>
      </c>
      <c r="P391" s="19">
        <v>0</v>
      </c>
      <c r="Q391" s="19">
        <v>0</v>
      </c>
      <c r="R391" s="19">
        <v>90.2</v>
      </c>
      <c r="S391" s="19">
        <v>0</v>
      </c>
      <c r="T391" s="18">
        <f>SUM(U391:X391)</f>
        <v>0</v>
      </c>
      <c r="U391" s="19">
        <v>0</v>
      </c>
      <c r="V391" s="19">
        <v>0</v>
      </c>
      <c r="W391" s="19">
        <v>0</v>
      </c>
      <c r="X391" s="19">
        <v>0</v>
      </c>
      <c r="Y391" s="18">
        <f>SUM(Z391:AC391)</f>
        <v>0</v>
      </c>
      <c r="Z391" s="19">
        <v>0</v>
      </c>
      <c r="AA391" s="19">
        <v>0</v>
      </c>
      <c r="AB391" s="19">
        <v>0</v>
      </c>
      <c r="AC391" s="19">
        <v>0</v>
      </c>
      <c r="AD391" s="18">
        <f>SUM(AE391:AH391)</f>
        <v>0</v>
      </c>
      <c r="AE391" s="19">
        <v>0</v>
      </c>
      <c r="AF391" s="19">
        <v>0</v>
      </c>
      <c r="AG391" s="19">
        <v>0</v>
      </c>
      <c r="AH391" s="19">
        <v>0</v>
      </c>
      <c r="AI391" s="18">
        <f>SUM(AJ391:AM391)</f>
        <v>0</v>
      </c>
      <c r="AJ391" s="19">
        <v>0</v>
      </c>
      <c r="AK391" s="19">
        <v>0</v>
      </c>
      <c r="AL391" s="19">
        <v>0</v>
      </c>
      <c r="AM391" s="19">
        <v>0</v>
      </c>
    </row>
    <row r="392" spans="1:39" s="2" customFormat="1" ht="78.75" outlineLevel="2" x14ac:dyDescent="0.25">
      <c r="A392" s="8" t="s">
        <v>799</v>
      </c>
      <c r="B392" s="34" t="s">
        <v>800</v>
      </c>
      <c r="C392" s="26" t="s">
        <v>32</v>
      </c>
      <c r="D392" s="26" t="s">
        <v>118</v>
      </c>
      <c r="E392" s="20">
        <f>SUM(F392:I392)</f>
        <v>422.2</v>
      </c>
      <c r="F392" s="38">
        <f>K392+P392+U392</f>
        <v>0</v>
      </c>
      <c r="G392" s="38">
        <f t="shared" si="315"/>
        <v>0</v>
      </c>
      <c r="H392" s="38">
        <f t="shared" si="315"/>
        <v>422.2</v>
      </c>
      <c r="I392" s="38"/>
      <c r="J392" s="18">
        <f>SUM(K392:N392)</f>
        <v>0</v>
      </c>
      <c r="K392" s="19">
        <v>0</v>
      </c>
      <c r="L392" s="19">
        <v>0</v>
      </c>
      <c r="M392" s="19">
        <v>0</v>
      </c>
      <c r="N392" s="19">
        <v>0</v>
      </c>
      <c r="O392" s="18">
        <f>R392</f>
        <v>0</v>
      </c>
      <c r="P392" s="19">
        <v>0</v>
      </c>
      <c r="Q392" s="19">
        <v>0</v>
      </c>
      <c r="R392" s="19">
        <v>0</v>
      </c>
      <c r="S392" s="19">
        <v>0</v>
      </c>
      <c r="T392" s="18">
        <f>SUM(U392:X392)</f>
        <v>422.2</v>
      </c>
      <c r="U392" s="19">
        <v>0</v>
      </c>
      <c r="V392" s="19">
        <v>0</v>
      </c>
      <c r="W392" s="19">
        <v>422.2</v>
      </c>
      <c r="X392" s="19">
        <v>0</v>
      </c>
      <c r="Y392" s="18">
        <f>SUM(Z392:AC392)</f>
        <v>0</v>
      </c>
      <c r="Z392" s="19">
        <v>0</v>
      </c>
      <c r="AA392" s="19">
        <v>0</v>
      </c>
      <c r="AB392" s="19">
        <v>0</v>
      </c>
      <c r="AC392" s="19">
        <v>0</v>
      </c>
      <c r="AD392" s="18">
        <f>SUM(AE392:AH392)</f>
        <v>0</v>
      </c>
      <c r="AE392" s="19">
        <v>0</v>
      </c>
      <c r="AF392" s="19">
        <v>0</v>
      </c>
      <c r="AG392" s="19">
        <v>0</v>
      </c>
      <c r="AH392" s="19">
        <v>0</v>
      </c>
      <c r="AI392" s="18">
        <f>SUM(AJ392:AM392)</f>
        <v>0</v>
      </c>
      <c r="AJ392" s="19">
        <v>0</v>
      </c>
      <c r="AK392" s="19">
        <v>0</v>
      </c>
      <c r="AL392" s="19">
        <v>0</v>
      </c>
      <c r="AM392" s="19">
        <v>0</v>
      </c>
    </row>
    <row r="393" spans="1:39" s="2" customFormat="1" ht="57" customHeight="1" outlineLevel="1" x14ac:dyDescent="0.25">
      <c r="A393" s="138" t="s">
        <v>277</v>
      </c>
      <c r="B393" s="183" t="s">
        <v>393</v>
      </c>
      <c r="C393" s="180"/>
      <c r="D393" s="181"/>
      <c r="E393" s="20">
        <f t="shared" ref="E393:AM393" si="318">SUM(E394:E416)</f>
        <v>2869.2</v>
      </c>
      <c r="F393" s="20">
        <f t="shared" si="318"/>
        <v>0</v>
      </c>
      <c r="G393" s="20">
        <f t="shared" si="318"/>
        <v>0</v>
      </c>
      <c r="H393" s="20">
        <f t="shared" si="318"/>
        <v>2869.2</v>
      </c>
      <c r="I393" s="20">
        <f t="shared" si="318"/>
        <v>0</v>
      </c>
      <c r="J393" s="20">
        <f t="shared" si="318"/>
        <v>1080.8</v>
      </c>
      <c r="K393" s="20">
        <f t="shared" si="318"/>
        <v>0</v>
      </c>
      <c r="L393" s="20">
        <f t="shared" si="318"/>
        <v>0</v>
      </c>
      <c r="M393" s="20">
        <f t="shared" si="318"/>
        <v>1080.8</v>
      </c>
      <c r="N393" s="20">
        <f t="shared" si="318"/>
        <v>0</v>
      </c>
      <c r="O393" s="20">
        <f t="shared" si="318"/>
        <v>841.40000000000009</v>
      </c>
      <c r="P393" s="20">
        <f t="shared" si="318"/>
        <v>0</v>
      </c>
      <c r="Q393" s="20">
        <f t="shared" si="318"/>
        <v>0</v>
      </c>
      <c r="R393" s="20">
        <f t="shared" si="318"/>
        <v>841.40000000000009</v>
      </c>
      <c r="S393" s="20">
        <f t="shared" si="318"/>
        <v>0</v>
      </c>
      <c r="T393" s="20">
        <f t="shared" si="318"/>
        <v>377</v>
      </c>
      <c r="U393" s="20">
        <f t="shared" si="318"/>
        <v>0</v>
      </c>
      <c r="V393" s="20">
        <f t="shared" si="318"/>
        <v>0</v>
      </c>
      <c r="W393" s="20">
        <f t="shared" si="318"/>
        <v>377</v>
      </c>
      <c r="X393" s="20">
        <f t="shared" si="318"/>
        <v>0</v>
      </c>
      <c r="Y393" s="20">
        <f t="shared" si="318"/>
        <v>570</v>
      </c>
      <c r="Z393" s="20">
        <f t="shared" si="318"/>
        <v>0</v>
      </c>
      <c r="AA393" s="20">
        <f t="shared" si="318"/>
        <v>0</v>
      </c>
      <c r="AB393" s="20">
        <f t="shared" si="318"/>
        <v>570</v>
      </c>
      <c r="AC393" s="20">
        <f t="shared" si="318"/>
        <v>0</v>
      </c>
      <c r="AD393" s="20">
        <f t="shared" si="318"/>
        <v>0</v>
      </c>
      <c r="AE393" s="20">
        <f t="shared" si="318"/>
        <v>0</v>
      </c>
      <c r="AF393" s="20">
        <f t="shared" si="318"/>
        <v>0</v>
      </c>
      <c r="AG393" s="20">
        <f t="shared" si="318"/>
        <v>0</v>
      </c>
      <c r="AH393" s="20">
        <f t="shared" si="318"/>
        <v>0</v>
      </c>
      <c r="AI393" s="20">
        <f t="shared" si="318"/>
        <v>0</v>
      </c>
      <c r="AJ393" s="20">
        <f t="shared" si="318"/>
        <v>0</v>
      </c>
      <c r="AK393" s="20">
        <f t="shared" si="318"/>
        <v>0</v>
      </c>
      <c r="AL393" s="20">
        <f t="shared" si="318"/>
        <v>0</v>
      </c>
      <c r="AM393" s="20">
        <f t="shared" si="318"/>
        <v>0</v>
      </c>
    </row>
    <row r="394" spans="1:39" s="2" customFormat="1" ht="78.75" outlineLevel="2" x14ac:dyDescent="0.25">
      <c r="A394" s="8" t="s">
        <v>278</v>
      </c>
      <c r="B394" s="33" t="s">
        <v>301</v>
      </c>
      <c r="C394" s="26" t="s">
        <v>377</v>
      </c>
      <c r="D394" s="26" t="s">
        <v>118</v>
      </c>
      <c r="E394" s="20">
        <f t="shared" ref="E394:E409" si="319">SUM(F394:I394)</f>
        <v>135</v>
      </c>
      <c r="F394" s="38">
        <f>K394+P394+U394</f>
        <v>0</v>
      </c>
      <c r="G394" s="38">
        <f>L394+Q394+V394+AA394+AF394+AK394</f>
        <v>0</v>
      </c>
      <c r="H394" s="38">
        <f>M394+R394+W394+AB394+AG394+AL394</f>
        <v>135</v>
      </c>
      <c r="I394" s="38">
        <f t="shared" si="316"/>
        <v>0</v>
      </c>
      <c r="J394" s="18">
        <f t="shared" ref="J394:J405" si="320">SUM(K394:N394)</f>
        <v>135</v>
      </c>
      <c r="K394" s="19">
        <v>0</v>
      </c>
      <c r="L394" s="19">
        <v>0</v>
      </c>
      <c r="M394" s="19">
        <v>135</v>
      </c>
      <c r="N394" s="19">
        <v>0</v>
      </c>
      <c r="O394" s="18">
        <f t="shared" si="313"/>
        <v>0</v>
      </c>
      <c r="P394" s="19">
        <v>0</v>
      </c>
      <c r="Q394" s="19">
        <v>0</v>
      </c>
      <c r="R394" s="19">
        <v>0</v>
      </c>
      <c r="S394" s="19">
        <v>0</v>
      </c>
      <c r="T394" s="18">
        <f t="shared" ref="T394:T405" si="321">SUM(U394:X394)</f>
        <v>0</v>
      </c>
      <c r="U394" s="19">
        <v>0</v>
      </c>
      <c r="V394" s="19">
        <v>0</v>
      </c>
      <c r="W394" s="19">
        <v>0</v>
      </c>
      <c r="X394" s="19">
        <v>0</v>
      </c>
      <c r="Y394" s="18">
        <f>SUM(Z394:AC394)</f>
        <v>0</v>
      </c>
      <c r="Z394" s="19">
        <v>0</v>
      </c>
      <c r="AA394" s="19">
        <v>0</v>
      </c>
      <c r="AB394" s="19">
        <v>0</v>
      </c>
      <c r="AC394" s="19">
        <v>0</v>
      </c>
      <c r="AD394" s="18">
        <f t="shared" si="317"/>
        <v>0</v>
      </c>
      <c r="AE394" s="19">
        <v>0</v>
      </c>
      <c r="AF394" s="19">
        <v>0</v>
      </c>
      <c r="AG394" s="19">
        <v>0</v>
      </c>
      <c r="AH394" s="19">
        <v>0</v>
      </c>
      <c r="AI394" s="18">
        <f t="shared" ref="AI394:AI405" si="322">SUM(AJ394:AM394)</f>
        <v>0</v>
      </c>
      <c r="AJ394" s="19">
        <v>0</v>
      </c>
      <c r="AK394" s="19">
        <v>0</v>
      </c>
      <c r="AL394" s="19">
        <v>0</v>
      </c>
      <c r="AM394" s="19">
        <v>0</v>
      </c>
    </row>
    <row r="395" spans="1:39" s="2" customFormat="1" ht="78.75" outlineLevel="2" x14ac:dyDescent="0.25">
      <c r="A395" s="8" t="s">
        <v>302</v>
      </c>
      <c r="B395" s="33" t="s">
        <v>303</v>
      </c>
      <c r="C395" s="26" t="s">
        <v>377</v>
      </c>
      <c r="D395" s="26" t="s">
        <v>118</v>
      </c>
      <c r="E395" s="20">
        <f t="shared" si="319"/>
        <v>342.5</v>
      </c>
      <c r="F395" s="38">
        <f>K395+P395+U395</f>
        <v>0</v>
      </c>
      <c r="G395" s="38">
        <f t="shared" ref="F395:G405" si="323">L395+Q395+V395+AA395+AF395+AK395</f>
        <v>0</v>
      </c>
      <c r="H395" s="38">
        <f t="shared" ref="H395:H405" si="324">M395+R395+W395+AB395+AG395+AL395</f>
        <v>342.5</v>
      </c>
      <c r="I395" s="38">
        <f t="shared" si="316"/>
        <v>0</v>
      </c>
      <c r="J395" s="18">
        <f t="shared" si="320"/>
        <v>342.5</v>
      </c>
      <c r="K395" s="19">
        <v>0</v>
      </c>
      <c r="L395" s="19">
        <v>0</v>
      </c>
      <c r="M395" s="19">
        <v>342.5</v>
      </c>
      <c r="N395" s="19">
        <v>0</v>
      </c>
      <c r="O395" s="18">
        <f t="shared" si="313"/>
        <v>0</v>
      </c>
      <c r="P395" s="19">
        <v>0</v>
      </c>
      <c r="Q395" s="19">
        <v>0</v>
      </c>
      <c r="R395" s="19">
        <v>0</v>
      </c>
      <c r="S395" s="19">
        <v>0</v>
      </c>
      <c r="T395" s="18">
        <f t="shared" si="321"/>
        <v>0</v>
      </c>
      <c r="U395" s="19">
        <v>0</v>
      </c>
      <c r="V395" s="19">
        <v>0</v>
      </c>
      <c r="W395" s="19">
        <v>0</v>
      </c>
      <c r="X395" s="19">
        <v>0</v>
      </c>
      <c r="Y395" s="18">
        <f t="shared" ref="Y395:Y405" si="325">SUM(Z395:AC395)</f>
        <v>0</v>
      </c>
      <c r="Z395" s="19">
        <v>0</v>
      </c>
      <c r="AA395" s="19">
        <v>0</v>
      </c>
      <c r="AB395" s="19">
        <v>0</v>
      </c>
      <c r="AC395" s="19">
        <v>0</v>
      </c>
      <c r="AD395" s="18">
        <f t="shared" si="317"/>
        <v>0</v>
      </c>
      <c r="AE395" s="19">
        <v>0</v>
      </c>
      <c r="AF395" s="19">
        <v>0</v>
      </c>
      <c r="AG395" s="19">
        <v>0</v>
      </c>
      <c r="AH395" s="19">
        <v>0</v>
      </c>
      <c r="AI395" s="18">
        <f t="shared" si="322"/>
        <v>0</v>
      </c>
      <c r="AJ395" s="19">
        <v>0</v>
      </c>
      <c r="AK395" s="19">
        <v>0</v>
      </c>
      <c r="AL395" s="19">
        <v>0</v>
      </c>
      <c r="AM395" s="19">
        <v>0</v>
      </c>
    </row>
    <row r="396" spans="1:39" s="2" customFormat="1" ht="78.75" outlineLevel="2" x14ac:dyDescent="0.25">
      <c r="A396" s="8" t="s">
        <v>310</v>
      </c>
      <c r="B396" s="33" t="s">
        <v>311</v>
      </c>
      <c r="C396" s="26" t="s">
        <v>377</v>
      </c>
      <c r="D396" s="26" t="s">
        <v>118</v>
      </c>
      <c r="E396" s="20">
        <f t="shared" si="319"/>
        <v>20.399999999999999</v>
      </c>
      <c r="F396" s="38">
        <f>K396+P396+U396</f>
        <v>0</v>
      </c>
      <c r="G396" s="38">
        <f t="shared" si="323"/>
        <v>0</v>
      </c>
      <c r="H396" s="38">
        <f t="shared" si="324"/>
        <v>20.399999999999999</v>
      </c>
      <c r="I396" s="38">
        <f t="shared" si="316"/>
        <v>0</v>
      </c>
      <c r="J396" s="18">
        <f t="shared" si="320"/>
        <v>20.399999999999999</v>
      </c>
      <c r="K396" s="19">
        <v>0</v>
      </c>
      <c r="L396" s="19">
        <v>0</v>
      </c>
      <c r="M396" s="19">
        <v>20.399999999999999</v>
      </c>
      <c r="N396" s="19">
        <v>0</v>
      </c>
      <c r="O396" s="18">
        <f t="shared" si="313"/>
        <v>0</v>
      </c>
      <c r="P396" s="19">
        <v>0</v>
      </c>
      <c r="Q396" s="19">
        <v>0</v>
      </c>
      <c r="R396" s="19">
        <v>0</v>
      </c>
      <c r="S396" s="19">
        <v>0</v>
      </c>
      <c r="T396" s="18">
        <f t="shared" si="321"/>
        <v>0</v>
      </c>
      <c r="U396" s="19">
        <v>0</v>
      </c>
      <c r="V396" s="19">
        <v>0</v>
      </c>
      <c r="W396" s="19">
        <v>0</v>
      </c>
      <c r="X396" s="19">
        <v>0</v>
      </c>
      <c r="Y396" s="18">
        <f t="shared" si="325"/>
        <v>0</v>
      </c>
      <c r="Z396" s="19">
        <v>0</v>
      </c>
      <c r="AA396" s="19">
        <v>0</v>
      </c>
      <c r="AB396" s="19">
        <v>0</v>
      </c>
      <c r="AC396" s="19">
        <v>0</v>
      </c>
      <c r="AD396" s="18">
        <f t="shared" si="317"/>
        <v>0</v>
      </c>
      <c r="AE396" s="19">
        <v>0</v>
      </c>
      <c r="AF396" s="19">
        <v>0</v>
      </c>
      <c r="AG396" s="19">
        <v>0</v>
      </c>
      <c r="AH396" s="19">
        <v>0</v>
      </c>
      <c r="AI396" s="18">
        <f t="shared" si="322"/>
        <v>0</v>
      </c>
      <c r="AJ396" s="19">
        <v>0</v>
      </c>
      <c r="AK396" s="19">
        <v>0</v>
      </c>
      <c r="AL396" s="19">
        <v>0</v>
      </c>
      <c r="AM396" s="19">
        <v>0</v>
      </c>
    </row>
    <row r="397" spans="1:39" s="2" customFormat="1" ht="94.5" outlineLevel="2" x14ac:dyDescent="0.25">
      <c r="A397" s="8" t="s">
        <v>312</v>
      </c>
      <c r="B397" s="33" t="s">
        <v>313</v>
      </c>
      <c r="C397" s="26" t="s">
        <v>377</v>
      </c>
      <c r="D397" s="26" t="s">
        <v>118</v>
      </c>
      <c r="E397" s="20">
        <f t="shared" si="319"/>
        <v>270</v>
      </c>
      <c r="F397" s="38">
        <f>K397+P397+U397</f>
        <v>0</v>
      </c>
      <c r="G397" s="38">
        <f t="shared" si="323"/>
        <v>0</v>
      </c>
      <c r="H397" s="38">
        <f t="shared" si="324"/>
        <v>270</v>
      </c>
      <c r="I397" s="38">
        <f t="shared" si="316"/>
        <v>0</v>
      </c>
      <c r="J397" s="18">
        <f t="shared" si="320"/>
        <v>270</v>
      </c>
      <c r="K397" s="19">
        <v>0</v>
      </c>
      <c r="L397" s="19">
        <v>0</v>
      </c>
      <c r="M397" s="19">
        <v>270</v>
      </c>
      <c r="N397" s="19">
        <v>0</v>
      </c>
      <c r="O397" s="18">
        <f t="shared" si="313"/>
        <v>0</v>
      </c>
      <c r="P397" s="19">
        <v>0</v>
      </c>
      <c r="Q397" s="19">
        <v>0</v>
      </c>
      <c r="R397" s="19">
        <v>0</v>
      </c>
      <c r="S397" s="19">
        <v>0</v>
      </c>
      <c r="T397" s="18">
        <f t="shared" si="321"/>
        <v>0</v>
      </c>
      <c r="U397" s="19">
        <v>0</v>
      </c>
      <c r="V397" s="19">
        <v>0</v>
      </c>
      <c r="W397" s="19">
        <v>0</v>
      </c>
      <c r="X397" s="19">
        <v>0</v>
      </c>
      <c r="Y397" s="18">
        <f t="shared" si="325"/>
        <v>0</v>
      </c>
      <c r="Z397" s="19">
        <v>0</v>
      </c>
      <c r="AA397" s="19">
        <v>0</v>
      </c>
      <c r="AB397" s="19">
        <v>0</v>
      </c>
      <c r="AC397" s="19">
        <v>0</v>
      </c>
      <c r="AD397" s="18">
        <f t="shared" si="317"/>
        <v>0</v>
      </c>
      <c r="AE397" s="19">
        <v>0</v>
      </c>
      <c r="AF397" s="19">
        <v>0</v>
      </c>
      <c r="AG397" s="19">
        <v>0</v>
      </c>
      <c r="AH397" s="19">
        <v>0</v>
      </c>
      <c r="AI397" s="18">
        <f t="shared" si="322"/>
        <v>0</v>
      </c>
      <c r="AJ397" s="19">
        <v>0</v>
      </c>
      <c r="AK397" s="19">
        <v>0</v>
      </c>
      <c r="AL397" s="19">
        <v>0</v>
      </c>
      <c r="AM397" s="19">
        <v>0</v>
      </c>
    </row>
    <row r="398" spans="1:39" s="2" customFormat="1" ht="78.75" outlineLevel="2" x14ac:dyDescent="0.25">
      <c r="A398" s="8" t="s">
        <v>364</v>
      </c>
      <c r="B398" s="34" t="s">
        <v>359</v>
      </c>
      <c r="C398" s="26" t="s">
        <v>377</v>
      </c>
      <c r="D398" s="26" t="s">
        <v>118</v>
      </c>
      <c r="E398" s="20">
        <f t="shared" si="319"/>
        <v>165.4</v>
      </c>
      <c r="F398" s="38">
        <f t="shared" si="323"/>
        <v>0</v>
      </c>
      <c r="G398" s="38">
        <f t="shared" si="323"/>
        <v>0</v>
      </c>
      <c r="H398" s="38">
        <f t="shared" si="324"/>
        <v>165.4</v>
      </c>
      <c r="I398" s="38">
        <f t="shared" si="316"/>
        <v>0</v>
      </c>
      <c r="J398" s="18">
        <f t="shared" si="320"/>
        <v>165.4</v>
      </c>
      <c r="K398" s="19">
        <v>0</v>
      </c>
      <c r="L398" s="19">
        <v>0</v>
      </c>
      <c r="M398" s="19">
        <v>165.4</v>
      </c>
      <c r="N398" s="19">
        <v>0</v>
      </c>
      <c r="O398" s="18">
        <f t="shared" si="313"/>
        <v>0</v>
      </c>
      <c r="P398" s="19">
        <v>0</v>
      </c>
      <c r="Q398" s="19">
        <v>0</v>
      </c>
      <c r="R398" s="19">
        <v>0</v>
      </c>
      <c r="S398" s="19">
        <v>0</v>
      </c>
      <c r="T398" s="18">
        <f t="shared" si="321"/>
        <v>0</v>
      </c>
      <c r="U398" s="19">
        <v>0</v>
      </c>
      <c r="V398" s="19">
        <v>0</v>
      </c>
      <c r="W398" s="19">
        <v>0</v>
      </c>
      <c r="X398" s="19">
        <v>0</v>
      </c>
      <c r="Y398" s="18">
        <f t="shared" si="325"/>
        <v>0</v>
      </c>
      <c r="Z398" s="19">
        <v>0</v>
      </c>
      <c r="AA398" s="19">
        <v>0</v>
      </c>
      <c r="AB398" s="19">
        <v>0</v>
      </c>
      <c r="AC398" s="19">
        <v>0</v>
      </c>
      <c r="AD398" s="18">
        <f t="shared" si="317"/>
        <v>0</v>
      </c>
      <c r="AE398" s="19">
        <v>0</v>
      </c>
      <c r="AF398" s="19">
        <v>0</v>
      </c>
      <c r="AG398" s="19">
        <v>0</v>
      </c>
      <c r="AH398" s="19">
        <v>0</v>
      </c>
      <c r="AI398" s="18">
        <f t="shared" si="322"/>
        <v>0</v>
      </c>
      <c r="AJ398" s="19">
        <v>0</v>
      </c>
      <c r="AK398" s="19">
        <v>0</v>
      </c>
      <c r="AL398" s="19">
        <v>0</v>
      </c>
      <c r="AM398" s="19">
        <v>0</v>
      </c>
    </row>
    <row r="399" spans="1:39" s="2" customFormat="1" ht="78.75" outlineLevel="2" x14ac:dyDescent="0.25">
      <c r="A399" s="8" t="s">
        <v>391</v>
      </c>
      <c r="B399" s="34" t="s">
        <v>436</v>
      </c>
      <c r="C399" s="26" t="s">
        <v>32</v>
      </c>
      <c r="D399" s="26" t="s">
        <v>118</v>
      </c>
      <c r="E399" s="20">
        <f t="shared" si="319"/>
        <v>20</v>
      </c>
      <c r="F399" s="38">
        <f t="shared" si="323"/>
        <v>0</v>
      </c>
      <c r="G399" s="38">
        <f t="shared" si="323"/>
        <v>0</v>
      </c>
      <c r="H399" s="38">
        <f t="shared" si="324"/>
        <v>20</v>
      </c>
      <c r="I399" s="38">
        <f t="shared" si="316"/>
        <v>0</v>
      </c>
      <c r="J399" s="18">
        <f t="shared" si="320"/>
        <v>0</v>
      </c>
      <c r="K399" s="19">
        <v>0</v>
      </c>
      <c r="L399" s="19">
        <v>0</v>
      </c>
      <c r="M399" s="19">
        <v>0</v>
      </c>
      <c r="N399" s="19">
        <v>0</v>
      </c>
      <c r="O399" s="18">
        <f t="shared" si="313"/>
        <v>20</v>
      </c>
      <c r="P399" s="19">
        <v>0</v>
      </c>
      <c r="Q399" s="19">
        <v>0</v>
      </c>
      <c r="R399" s="19">
        <f>29.9-9.9</f>
        <v>20</v>
      </c>
      <c r="S399" s="19">
        <v>0</v>
      </c>
      <c r="T399" s="18">
        <f t="shared" si="321"/>
        <v>0</v>
      </c>
      <c r="U399" s="19">
        <v>0</v>
      </c>
      <c r="V399" s="19">
        <v>0</v>
      </c>
      <c r="W399" s="19">
        <v>0</v>
      </c>
      <c r="X399" s="19">
        <v>0</v>
      </c>
      <c r="Y399" s="18">
        <f t="shared" si="325"/>
        <v>0</v>
      </c>
      <c r="Z399" s="19">
        <v>0</v>
      </c>
      <c r="AA399" s="19">
        <v>0</v>
      </c>
      <c r="AB399" s="19">
        <v>0</v>
      </c>
      <c r="AC399" s="19">
        <v>0</v>
      </c>
      <c r="AD399" s="18">
        <f t="shared" si="317"/>
        <v>0</v>
      </c>
      <c r="AE399" s="19">
        <v>0</v>
      </c>
      <c r="AF399" s="19">
        <v>0</v>
      </c>
      <c r="AG399" s="19">
        <v>0</v>
      </c>
      <c r="AH399" s="19">
        <v>0</v>
      </c>
      <c r="AI399" s="18">
        <f t="shared" si="322"/>
        <v>0</v>
      </c>
      <c r="AJ399" s="19">
        <v>0</v>
      </c>
      <c r="AK399" s="19">
        <v>0</v>
      </c>
      <c r="AL399" s="19">
        <v>0</v>
      </c>
      <c r="AM399" s="19">
        <v>0</v>
      </c>
    </row>
    <row r="400" spans="1:39" s="2" customFormat="1" ht="63" outlineLevel="2" x14ac:dyDescent="0.25">
      <c r="A400" s="8" t="s">
        <v>449</v>
      </c>
      <c r="B400" s="34" t="s">
        <v>437</v>
      </c>
      <c r="C400" s="26" t="s">
        <v>32</v>
      </c>
      <c r="D400" s="26" t="s">
        <v>118</v>
      </c>
      <c r="E400" s="20">
        <f t="shared" si="319"/>
        <v>160.1</v>
      </c>
      <c r="F400" s="38">
        <f t="shared" si="323"/>
        <v>0</v>
      </c>
      <c r="G400" s="38">
        <f t="shared" si="323"/>
        <v>0</v>
      </c>
      <c r="H400" s="38">
        <f t="shared" si="324"/>
        <v>160.1</v>
      </c>
      <c r="I400" s="38">
        <f t="shared" si="316"/>
        <v>0</v>
      </c>
      <c r="J400" s="18">
        <f t="shared" si="320"/>
        <v>0</v>
      </c>
      <c r="K400" s="19">
        <v>0</v>
      </c>
      <c r="L400" s="19">
        <v>0</v>
      </c>
      <c r="M400" s="19">
        <v>0</v>
      </c>
      <c r="N400" s="19">
        <v>0</v>
      </c>
      <c r="O400" s="18">
        <f t="shared" si="313"/>
        <v>160.1</v>
      </c>
      <c r="P400" s="19">
        <v>0</v>
      </c>
      <c r="Q400" s="19">
        <v>0</v>
      </c>
      <c r="R400" s="19">
        <v>160.1</v>
      </c>
      <c r="S400" s="19">
        <v>0</v>
      </c>
      <c r="T400" s="18">
        <f t="shared" si="321"/>
        <v>0</v>
      </c>
      <c r="U400" s="19">
        <v>0</v>
      </c>
      <c r="V400" s="19">
        <v>0</v>
      </c>
      <c r="W400" s="19">
        <v>0</v>
      </c>
      <c r="X400" s="19">
        <v>0</v>
      </c>
      <c r="Y400" s="18">
        <f t="shared" si="325"/>
        <v>0</v>
      </c>
      <c r="Z400" s="19">
        <v>0</v>
      </c>
      <c r="AA400" s="19">
        <v>0</v>
      </c>
      <c r="AB400" s="19">
        <v>0</v>
      </c>
      <c r="AC400" s="19">
        <v>0</v>
      </c>
      <c r="AD400" s="18">
        <f t="shared" si="317"/>
        <v>0</v>
      </c>
      <c r="AE400" s="19">
        <v>0</v>
      </c>
      <c r="AF400" s="19">
        <v>0</v>
      </c>
      <c r="AG400" s="19">
        <v>0</v>
      </c>
      <c r="AH400" s="19">
        <v>0</v>
      </c>
      <c r="AI400" s="18">
        <f t="shared" si="322"/>
        <v>0</v>
      </c>
      <c r="AJ400" s="19">
        <v>0</v>
      </c>
      <c r="AK400" s="19">
        <v>0</v>
      </c>
      <c r="AL400" s="19">
        <v>0</v>
      </c>
      <c r="AM400" s="19">
        <v>0</v>
      </c>
    </row>
    <row r="401" spans="1:39" s="2" customFormat="1" ht="63" outlineLevel="2" x14ac:dyDescent="0.25">
      <c r="A401" s="8" t="s">
        <v>450</v>
      </c>
      <c r="B401" s="34" t="s">
        <v>830</v>
      </c>
      <c r="C401" s="26" t="s">
        <v>32</v>
      </c>
      <c r="D401" s="26" t="s">
        <v>118</v>
      </c>
      <c r="E401" s="20">
        <f t="shared" si="319"/>
        <v>45</v>
      </c>
      <c r="F401" s="38">
        <f t="shared" si="323"/>
        <v>0</v>
      </c>
      <c r="G401" s="38">
        <f t="shared" si="323"/>
        <v>0</v>
      </c>
      <c r="H401" s="38">
        <f t="shared" si="324"/>
        <v>45</v>
      </c>
      <c r="I401" s="38">
        <f t="shared" si="316"/>
        <v>0</v>
      </c>
      <c r="J401" s="18">
        <f t="shared" si="320"/>
        <v>0</v>
      </c>
      <c r="K401" s="19">
        <v>0</v>
      </c>
      <c r="L401" s="19">
        <v>0</v>
      </c>
      <c r="M401" s="19">
        <v>0</v>
      </c>
      <c r="N401" s="19">
        <v>0</v>
      </c>
      <c r="O401" s="18">
        <f t="shared" si="313"/>
        <v>45</v>
      </c>
      <c r="P401" s="19">
        <v>0</v>
      </c>
      <c r="Q401" s="19">
        <v>0</v>
      </c>
      <c r="R401" s="19">
        <f>63.3-18.3</f>
        <v>45</v>
      </c>
      <c r="S401" s="19">
        <v>0</v>
      </c>
      <c r="T401" s="18">
        <f t="shared" si="321"/>
        <v>0</v>
      </c>
      <c r="U401" s="19">
        <v>0</v>
      </c>
      <c r="V401" s="19">
        <v>0</v>
      </c>
      <c r="W401" s="19">
        <v>0</v>
      </c>
      <c r="X401" s="19">
        <v>0</v>
      </c>
      <c r="Y401" s="18">
        <f t="shared" si="325"/>
        <v>0</v>
      </c>
      <c r="Z401" s="19">
        <v>0</v>
      </c>
      <c r="AA401" s="19">
        <v>0</v>
      </c>
      <c r="AB401" s="19">
        <v>0</v>
      </c>
      <c r="AC401" s="19">
        <v>0</v>
      </c>
      <c r="AD401" s="18">
        <f t="shared" si="317"/>
        <v>0</v>
      </c>
      <c r="AE401" s="19">
        <v>0</v>
      </c>
      <c r="AF401" s="19">
        <v>0</v>
      </c>
      <c r="AG401" s="19">
        <v>0</v>
      </c>
      <c r="AH401" s="19">
        <v>0</v>
      </c>
      <c r="AI401" s="18">
        <f t="shared" si="322"/>
        <v>0</v>
      </c>
      <c r="AJ401" s="19">
        <v>0</v>
      </c>
      <c r="AK401" s="19">
        <v>0</v>
      </c>
      <c r="AL401" s="19">
        <v>0</v>
      </c>
      <c r="AM401" s="19">
        <v>0</v>
      </c>
    </row>
    <row r="402" spans="1:39" s="2" customFormat="1" ht="47.25" outlineLevel="2" x14ac:dyDescent="0.25">
      <c r="A402" s="8" t="s">
        <v>451</v>
      </c>
      <c r="B402" s="34" t="s">
        <v>392</v>
      </c>
      <c r="C402" s="26" t="s">
        <v>32</v>
      </c>
      <c r="D402" s="25" t="s">
        <v>8</v>
      </c>
      <c r="E402" s="20">
        <f t="shared" si="319"/>
        <v>304.89999999999998</v>
      </c>
      <c r="F402" s="38">
        <f t="shared" ref="F402:G404" si="326">K402+P402+U402+Z402+AE402+AJ402</f>
        <v>0</v>
      </c>
      <c r="G402" s="38">
        <f t="shared" si="326"/>
        <v>0</v>
      </c>
      <c r="H402" s="38">
        <f t="shared" ref="H402:I404" si="327">M402+R402+W402+AB402+AG402+AL402</f>
        <v>304.89999999999998</v>
      </c>
      <c r="I402" s="38">
        <f t="shared" si="327"/>
        <v>0</v>
      </c>
      <c r="J402" s="18">
        <f>SUM(K402:N402)</f>
        <v>147.5</v>
      </c>
      <c r="K402" s="19">
        <v>0</v>
      </c>
      <c r="L402" s="19">
        <v>0</v>
      </c>
      <c r="M402" s="19">
        <v>147.5</v>
      </c>
      <c r="N402" s="19">
        <v>0</v>
      </c>
      <c r="O402" s="18">
        <f>SUM(P402:S402)</f>
        <v>157.4</v>
      </c>
      <c r="P402" s="19">
        <v>0</v>
      </c>
      <c r="Q402" s="19">
        <v>0</v>
      </c>
      <c r="R402" s="19">
        <f>40+25+92.4</f>
        <v>157.4</v>
      </c>
      <c r="S402" s="19">
        <v>0</v>
      </c>
      <c r="T402" s="18">
        <f>SUM(U402:X402)</f>
        <v>0</v>
      </c>
      <c r="U402" s="19">
        <v>0</v>
      </c>
      <c r="V402" s="19">
        <v>0</v>
      </c>
      <c r="W402" s="19">
        <v>0</v>
      </c>
      <c r="X402" s="19">
        <v>0</v>
      </c>
      <c r="Y402" s="18">
        <f>SUM(Z402:AC402)</f>
        <v>0</v>
      </c>
      <c r="Z402" s="19">
        <v>0</v>
      </c>
      <c r="AA402" s="19">
        <v>0</v>
      </c>
      <c r="AB402" s="19">
        <v>0</v>
      </c>
      <c r="AC402" s="19">
        <v>0</v>
      </c>
      <c r="AD402" s="18">
        <f>SUM(AE402:AH402)</f>
        <v>0</v>
      </c>
      <c r="AE402" s="19">
        <v>0</v>
      </c>
      <c r="AF402" s="19">
        <v>0</v>
      </c>
      <c r="AG402" s="19">
        <v>0</v>
      </c>
      <c r="AH402" s="19">
        <v>0</v>
      </c>
      <c r="AI402" s="18">
        <f>SUM(AJ402:AM402)</f>
        <v>0</v>
      </c>
      <c r="AJ402" s="19">
        <v>0</v>
      </c>
      <c r="AK402" s="19">
        <v>0</v>
      </c>
      <c r="AL402" s="19">
        <v>0</v>
      </c>
      <c r="AM402" s="19">
        <v>0</v>
      </c>
    </row>
    <row r="403" spans="1:39" s="2" customFormat="1" ht="126" outlineLevel="2" x14ac:dyDescent="0.25">
      <c r="A403" s="8" t="s">
        <v>452</v>
      </c>
      <c r="B403" s="34" t="s">
        <v>571</v>
      </c>
      <c r="C403" s="26" t="s">
        <v>32</v>
      </c>
      <c r="D403" s="25" t="s">
        <v>8</v>
      </c>
      <c r="E403" s="20">
        <f t="shared" si="319"/>
        <v>99</v>
      </c>
      <c r="F403" s="38">
        <f>K403+P403+U403+Z403+AE403+AJ403</f>
        <v>0</v>
      </c>
      <c r="G403" s="38">
        <f>L403+Q403+V403+AA403+AF403+AK403</f>
        <v>0</v>
      </c>
      <c r="H403" s="38">
        <f t="shared" si="327"/>
        <v>99</v>
      </c>
      <c r="I403" s="38">
        <f t="shared" si="327"/>
        <v>0</v>
      </c>
      <c r="J403" s="18">
        <f>SUM(K403:N403)</f>
        <v>0</v>
      </c>
      <c r="K403" s="19">
        <v>0</v>
      </c>
      <c r="L403" s="19">
        <v>0</v>
      </c>
      <c r="M403" s="19">
        <v>0</v>
      </c>
      <c r="N403" s="19">
        <v>0</v>
      </c>
      <c r="O403" s="18">
        <f>SUM(P403:S403)</f>
        <v>99</v>
      </c>
      <c r="P403" s="19">
        <v>0</v>
      </c>
      <c r="Q403" s="19">
        <v>0</v>
      </c>
      <c r="R403" s="19">
        <v>99</v>
      </c>
      <c r="S403" s="19">
        <v>0</v>
      </c>
      <c r="T403" s="18">
        <f>SUM(U403:X403)</f>
        <v>0</v>
      </c>
      <c r="U403" s="19">
        <v>0</v>
      </c>
      <c r="V403" s="19">
        <v>0</v>
      </c>
      <c r="W403" s="19">
        <v>0</v>
      </c>
      <c r="X403" s="19">
        <v>0</v>
      </c>
      <c r="Y403" s="18">
        <f>SUM(Z403:AC403)</f>
        <v>0</v>
      </c>
      <c r="Z403" s="19">
        <v>0</v>
      </c>
      <c r="AA403" s="19">
        <v>0</v>
      </c>
      <c r="AB403" s="19">
        <v>0</v>
      </c>
      <c r="AC403" s="19">
        <v>0</v>
      </c>
      <c r="AD403" s="18">
        <f>SUM(AE403:AH403)</f>
        <v>0</v>
      </c>
      <c r="AE403" s="19">
        <v>0</v>
      </c>
      <c r="AF403" s="19">
        <v>0</v>
      </c>
      <c r="AG403" s="19">
        <v>0</v>
      </c>
      <c r="AH403" s="19">
        <v>0</v>
      </c>
      <c r="AI403" s="18">
        <f>SUM(AJ403:AM403)</f>
        <v>0</v>
      </c>
      <c r="AJ403" s="19">
        <v>0</v>
      </c>
      <c r="AK403" s="19">
        <v>0</v>
      </c>
      <c r="AL403" s="19">
        <v>0</v>
      </c>
      <c r="AM403" s="19">
        <v>0</v>
      </c>
    </row>
    <row r="404" spans="1:39" s="2" customFormat="1" ht="78.75" outlineLevel="2" x14ac:dyDescent="0.25">
      <c r="A404" s="8" t="s">
        <v>481</v>
      </c>
      <c r="B404" s="34" t="s">
        <v>482</v>
      </c>
      <c r="C404" s="26" t="s">
        <v>32</v>
      </c>
      <c r="D404" s="25" t="s">
        <v>118</v>
      </c>
      <c r="E404" s="20">
        <f t="shared" si="319"/>
        <v>30</v>
      </c>
      <c r="F404" s="38">
        <f t="shared" si="326"/>
        <v>0</v>
      </c>
      <c r="G404" s="38">
        <f t="shared" si="326"/>
        <v>0</v>
      </c>
      <c r="H404" s="38">
        <f t="shared" si="327"/>
        <v>30</v>
      </c>
      <c r="I404" s="38">
        <f t="shared" si="327"/>
        <v>0</v>
      </c>
      <c r="J404" s="18">
        <f>SUM(K404:N404)</f>
        <v>0</v>
      </c>
      <c r="K404" s="19">
        <v>0</v>
      </c>
      <c r="L404" s="19">
        <v>0</v>
      </c>
      <c r="M404" s="19">
        <v>0</v>
      </c>
      <c r="N404" s="19">
        <v>0</v>
      </c>
      <c r="O404" s="18">
        <f>SUM(P404:S404)</f>
        <v>30</v>
      </c>
      <c r="P404" s="19">
        <v>0</v>
      </c>
      <c r="Q404" s="19">
        <v>0</v>
      </c>
      <c r="R404" s="19">
        <f>410-380</f>
        <v>30</v>
      </c>
      <c r="S404" s="19">
        <v>0</v>
      </c>
      <c r="T404" s="18">
        <f>SUM(U404:X404)</f>
        <v>0</v>
      </c>
      <c r="U404" s="19">
        <v>0</v>
      </c>
      <c r="V404" s="19">
        <v>0</v>
      </c>
      <c r="W404" s="19">
        <v>0</v>
      </c>
      <c r="X404" s="19">
        <v>0</v>
      </c>
      <c r="Y404" s="18">
        <f>SUM(Z404:AC404)</f>
        <v>0</v>
      </c>
      <c r="Z404" s="19">
        <v>0</v>
      </c>
      <c r="AA404" s="19">
        <v>0</v>
      </c>
      <c r="AB404" s="19">
        <v>0</v>
      </c>
      <c r="AC404" s="19">
        <v>0</v>
      </c>
      <c r="AD404" s="18">
        <f>SUM(AE404:AH404)</f>
        <v>0</v>
      </c>
      <c r="AE404" s="19">
        <v>0</v>
      </c>
      <c r="AF404" s="19">
        <v>0</v>
      </c>
      <c r="AG404" s="19">
        <v>0</v>
      </c>
      <c r="AH404" s="19">
        <v>0</v>
      </c>
      <c r="AI404" s="18">
        <f>SUM(AJ404:AM404)</f>
        <v>0</v>
      </c>
      <c r="AJ404" s="19">
        <v>0</v>
      </c>
      <c r="AK404" s="19">
        <v>0</v>
      </c>
      <c r="AL404" s="19">
        <v>0</v>
      </c>
      <c r="AM404" s="19">
        <v>0</v>
      </c>
    </row>
    <row r="405" spans="1:39" s="2" customFormat="1" ht="63" outlineLevel="2" x14ac:dyDescent="0.25">
      <c r="A405" s="8" t="s">
        <v>495</v>
      </c>
      <c r="B405" s="34" t="s">
        <v>496</v>
      </c>
      <c r="C405" s="26" t="s">
        <v>32</v>
      </c>
      <c r="D405" s="25" t="s">
        <v>118</v>
      </c>
      <c r="E405" s="20">
        <f t="shared" si="319"/>
        <v>57</v>
      </c>
      <c r="F405" s="38">
        <f t="shared" si="323"/>
        <v>0</v>
      </c>
      <c r="G405" s="38">
        <f t="shared" si="323"/>
        <v>0</v>
      </c>
      <c r="H405" s="38">
        <f t="shared" si="324"/>
        <v>57</v>
      </c>
      <c r="I405" s="38">
        <f t="shared" si="316"/>
        <v>0</v>
      </c>
      <c r="J405" s="18">
        <f t="shared" si="320"/>
        <v>0</v>
      </c>
      <c r="K405" s="19">
        <v>0</v>
      </c>
      <c r="L405" s="19">
        <v>0</v>
      </c>
      <c r="M405" s="19">
        <v>0</v>
      </c>
      <c r="N405" s="19">
        <v>0</v>
      </c>
      <c r="O405" s="18">
        <f t="shared" si="313"/>
        <v>57</v>
      </c>
      <c r="P405" s="19">
        <v>0</v>
      </c>
      <c r="Q405" s="19">
        <v>0</v>
      </c>
      <c r="R405" s="19">
        <v>57</v>
      </c>
      <c r="S405" s="19">
        <v>0</v>
      </c>
      <c r="T405" s="18">
        <f t="shared" si="321"/>
        <v>0</v>
      </c>
      <c r="U405" s="19">
        <v>0</v>
      </c>
      <c r="V405" s="19">
        <v>0</v>
      </c>
      <c r="W405" s="19">
        <v>0</v>
      </c>
      <c r="X405" s="19">
        <v>0</v>
      </c>
      <c r="Y405" s="18">
        <f t="shared" si="325"/>
        <v>0</v>
      </c>
      <c r="Z405" s="19">
        <v>0</v>
      </c>
      <c r="AA405" s="19">
        <v>0</v>
      </c>
      <c r="AB405" s="19">
        <v>0</v>
      </c>
      <c r="AC405" s="19">
        <v>0</v>
      </c>
      <c r="AD405" s="18">
        <f t="shared" si="317"/>
        <v>0</v>
      </c>
      <c r="AE405" s="19">
        <v>0</v>
      </c>
      <c r="AF405" s="19">
        <v>0</v>
      </c>
      <c r="AG405" s="19">
        <v>0</v>
      </c>
      <c r="AH405" s="19">
        <v>0</v>
      </c>
      <c r="AI405" s="18">
        <f t="shared" si="322"/>
        <v>0</v>
      </c>
      <c r="AJ405" s="19">
        <v>0</v>
      </c>
      <c r="AK405" s="19">
        <v>0</v>
      </c>
      <c r="AL405" s="19">
        <v>0</v>
      </c>
      <c r="AM405" s="19">
        <v>0</v>
      </c>
    </row>
    <row r="406" spans="1:39" s="2" customFormat="1" ht="94.5" outlineLevel="2" x14ac:dyDescent="0.25">
      <c r="A406" s="8" t="s">
        <v>714</v>
      </c>
      <c r="B406" s="34" t="s">
        <v>828</v>
      </c>
      <c r="C406" s="26" t="s">
        <v>32</v>
      </c>
      <c r="D406" s="25" t="s">
        <v>118</v>
      </c>
      <c r="E406" s="20">
        <f t="shared" si="319"/>
        <v>90</v>
      </c>
      <c r="F406" s="38">
        <f>K406+P406+U406+Z406+AE406+AJ406</f>
        <v>0</v>
      </c>
      <c r="G406" s="38">
        <f t="shared" ref="G406:G416" si="328">L406+Q406+V406+AA406+AF406+AK406</f>
        <v>0</v>
      </c>
      <c r="H406" s="38">
        <f>M406+R406+W406+AB406+AG406+AL406</f>
        <v>90</v>
      </c>
      <c r="I406" s="38">
        <f t="shared" ref="I406:I416" si="329">N406+S406+X406+AC406+AH406+AM406</f>
        <v>0</v>
      </c>
      <c r="J406" s="18">
        <f t="shared" ref="J406:J413" si="330">SUM(K406:N406)</f>
        <v>0</v>
      </c>
      <c r="K406" s="19">
        <v>0</v>
      </c>
      <c r="L406" s="19">
        <v>0</v>
      </c>
      <c r="M406" s="19">
        <v>0</v>
      </c>
      <c r="N406" s="19">
        <v>0</v>
      </c>
      <c r="O406" s="18">
        <f t="shared" si="313"/>
        <v>90</v>
      </c>
      <c r="P406" s="19">
        <v>0</v>
      </c>
      <c r="Q406" s="19">
        <v>0</v>
      </c>
      <c r="R406" s="19">
        <v>90</v>
      </c>
      <c r="S406" s="19">
        <v>0</v>
      </c>
      <c r="T406" s="18">
        <f>SUM(U406:X406)</f>
        <v>0</v>
      </c>
      <c r="U406" s="19">
        <v>0</v>
      </c>
      <c r="V406" s="19">
        <v>0</v>
      </c>
      <c r="W406" s="19">
        <v>0</v>
      </c>
      <c r="X406" s="19">
        <v>0</v>
      </c>
      <c r="Y406" s="18">
        <f>SUM(Z406:AC406)</f>
        <v>0</v>
      </c>
      <c r="Z406" s="19">
        <v>0</v>
      </c>
      <c r="AA406" s="19">
        <v>0</v>
      </c>
      <c r="AB406" s="19">
        <v>0</v>
      </c>
      <c r="AC406" s="19">
        <v>0</v>
      </c>
      <c r="AD406" s="18">
        <f>SUM(AE406:AH406)</f>
        <v>0</v>
      </c>
      <c r="AE406" s="19">
        <v>0</v>
      </c>
      <c r="AF406" s="19">
        <v>0</v>
      </c>
      <c r="AG406" s="19">
        <v>0</v>
      </c>
      <c r="AH406" s="19">
        <v>0</v>
      </c>
      <c r="AI406" s="18">
        <f>SUM(AJ406:AM406)</f>
        <v>0</v>
      </c>
      <c r="AJ406" s="19">
        <v>0</v>
      </c>
      <c r="AK406" s="19">
        <v>0</v>
      </c>
      <c r="AL406" s="19">
        <v>0</v>
      </c>
      <c r="AM406" s="19">
        <v>0</v>
      </c>
    </row>
    <row r="407" spans="1:39" s="2" customFormat="1" ht="78.75" outlineLevel="2" x14ac:dyDescent="0.25">
      <c r="A407" s="8" t="s">
        <v>746</v>
      </c>
      <c r="B407" s="34" t="s">
        <v>747</v>
      </c>
      <c r="C407" s="26" t="s">
        <v>32</v>
      </c>
      <c r="D407" s="25" t="s">
        <v>118</v>
      </c>
      <c r="E407" s="20">
        <f t="shared" si="319"/>
        <v>166.7</v>
      </c>
      <c r="F407" s="38"/>
      <c r="G407" s="38">
        <f t="shared" si="328"/>
        <v>0</v>
      </c>
      <c r="H407" s="38">
        <f>M407+R407+W407+AB407+AG407+AL407</f>
        <v>166.7</v>
      </c>
      <c r="I407" s="38">
        <f t="shared" si="329"/>
        <v>0</v>
      </c>
      <c r="J407" s="18">
        <f t="shared" si="330"/>
        <v>0</v>
      </c>
      <c r="K407" s="19">
        <v>0</v>
      </c>
      <c r="L407" s="19">
        <v>0</v>
      </c>
      <c r="M407" s="19">
        <v>0</v>
      </c>
      <c r="N407" s="19">
        <v>0</v>
      </c>
      <c r="O407" s="18">
        <f t="shared" si="313"/>
        <v>166.7</v>
      </c>
      <c r="P407" s="19">
        <v>0</v>
      </c>
      <c r="Q407" s="19">
        <v>0</v>
      </c>
      <c r="R407" s="19">
        <v>166.7</v>
      </c>
      <c r="S407" s="19">
        <v>0</v>
      </c>
      <c r="T407" s="18">
        <f>SUM(U407:X407)</f>
        <v>0</v>
      </c>
      <c r="U407" s="19">
        <v>0</v>
      </c>
      <c r="V407" s="19">
        <v>0</v>
      </c>
      <c r="W407" s="19">
        <v>0</v>
      </c>
      <c r="X407" s="19">
        <v>0</v>
      </c>
      <c r="Y407" s="18">
        <f>SUM(Z407:AC407)</f>
        <v>0</v>
      </c>
      <c r="Z407" s="19">
        <v>0</v>
      </c>
      <c r="AA407" s="19">
        <v>0</v>
      </c>
      <c r="AB407" s="19">
        <v>0</v>
      </c>
      <c r="AC407" s="19">
        <v>0</v>
      </c>
      <c r="AD407" s="18">
        <f>SUM(AE407:AH407)</f>
        <v>0</v>
      </c>
      <c r="AE407" s="19">
        <v>0</v>
      </c>
      <c r="AF407" s="19">
        <v>0</v>
      </c>
      <c r="AG407" s="19">
        <v>0</v>
      </c>
      <c r="AH407" s="19">
        <v>0</v>
      </c>
      <c r="AI407" s="18">
        <f>SUM(AJ407:AM407)</f>
        <v>0</v>
      </c>
      <c r="AJ407" s="19">
        <v>0</v>
      </c>
      <c r="AK407" s="19">
        <v>0</v>
      </c>
      <c r="AL407" s="19">
        <v>0</v>
      </c>
      <c r="AM407" s="19">
        <v>0</v>
      </c>
    </row>
    <row r="408" spans="1:39" s="2" customFormat="1" ht="63" outlineLevel="2" x14ac:dyDescent="0.25">
      <c r="A408" s="8" t="s">
        <v>748</v>
      </c>
      <c r="B408" s="34" t="s">
        <v>809</v>
      </c>
      <c r="C408" s="26" t="s">
        <v>32</v>
      </c>
      <c r="D408" s="25" t="s">
        <v>118</v>
      </c>
      <c r="E408" s="20">
        <f t="shared" si="319"/>
        <v>16.2</v>
      </c>
      <c r="F408" s="38"/>
      <c r="G408" s="38">
        <f t="shared" si="328"/>
        <v>0</v>
      </c>
      <c r="H408" s="38">
        <f>M408+R408+W408+AB408+AG408+AL408</f>
        <v>16.2</v>
      </c>
      <c r="I408" s="38">
        <f t="shared" si="329"/>
        <v>0</v>
      </c>
      <c r="J408" s="18">
        <f t="shared" si="330"/>
        <v>0</v>
      </c>
      <c r="K408" s="19">
        <v>0</v>
      </c>
      <c r="L408" s="19">
        <v>0</v>
      </c>
      <c r="M408" s="19">
        <v>0</v>
      </c>
      <c r="N408" s="19">
        <v>0</v>
      </c>
      <c r="O408" s="18">
        <f>SUM(P408:S408)</f>
        <v>16.2</v>
      </c>
      <c r="P408" s="19">
        <v>0</v>
      </c>
      <c r="Q408" s="19">
        <v>0</v>
      </c>
      <c r="R408" s="19">
        <v>16.2</v>
      </c>
      <c r="S408" s="19">
        <v>0</v>
      </c>
      <c r="T408" s="18">
        <f>SUM(U408:X408)</f>
        <v>0</v>
      </c>
      <c r="U408" s="19">
        <v>0</v>
      </c>
      <c r="V408" s="19">
        <v>0</v>
      </c>
      <c r="W408" s="19">
        <v>0</v>
      </c>
      <c r="X408" s="19">
        <v>0</v>
      </c>
      <c r="Y408" s="18">
        <f>SUM(Z408:AC408)</f>
        <v>0</v>
      </c>
      <c r="Z408" s="19">
        <v>0</v>
      </c>
      <c r="AA408" s="19">
        <v>0</v>
      </c>
      <c r="AB408" s="19">
        <v>0</v>
      </c>
      <c r="AC408" s="19">
        <v>0</v>
      </c>
      <c r="AD408" s="18">
        <f>SUM(AE408:AH408)</f>
        <v>0</v>
      </c>
      <c r="AE408" s="19">
        <v>0</v>
      </c>
      <c r="AF408" s="19">
        <v>0</v>
      </c>
      <c r="AG408" s="19">
        <v>0</v>
      </c>
      <c r="AH408" s="19">
        <v>0</v>
      </c>
      <c r="AI408" s="18">
        <f>SUM(AJ408:AM408)</f>
        <v>0</v>
      </c>
      <c r="AJ408" s="19">
        <v>0</v>
      </c>
      <c r="AK408" s="19">
        <v>0</v>
      </c>
      <c r="AL408" s="19">
        <v>0</v>
      </c>
      <c r="AM408" s="19">
        <v>0</v>
      </c>
    </row>
    <row r="409" spans="1:39" s="2" customFormat="1" ht="78.75" outlineLevel="2" x14ac:dyDescent="0.25">
      <c r="A409" s="8" t="s">
        <v>810</v>
      </c>
      <c r="B409" s="34" t="s">
        <v>812</v>
      </c>
      <c r="C409" s="26" t="s">
        <v>32</v>
      </c>
      <c r="D409" s="25" t="s">
        <v>118</v>
      </c>
      <c r="E409" s="20">
        <f t="shared" si="319"/>
        <v>377</v>
      </c>
      <c r="F409" s="38"/>
      <c r="G409" s="38">
        <f t="shared" si="328"/>
        <v>0</v>
      </c>
      <c r="H409" s="38">
        <f>M409+R409+W409+AB409+AG409+AL409</f>
        <v>377</v>
      </c>
      <c r="I409" s="38">
        <f t="shared" si="329"/>
        <v>0</v>
      </c>
      <c r="J409" s="18">
        <f t="shared" si="330"/>
        <v>0</v>
      </c>
      <c r="K409" s="19">
        <v>0</v>
      </c>
      <c r="L409" s="19">
        <v>0</v>
      </c>
      <c r="M409" s="19">
        <v>0</v>
      </c>
      <c r="N409" s="19">
        <v>0</v>
      </c>
      <c r="O409" s="18">
        <f>SUM(P409:S409)</f>
        <v>0</v>
      </c>
      <c r="P409" s="19">
        <v>0</v>
      </c>
      <c r="Q409" s="19">
        <v>0</v>
      </c>
      <c r="R409" s="19">
        <v>0</v>
      </c>
      <c r="S409" s="19">
        <v>0</v>
      </c>
      <c r="T409" s="18">
        <f>SUM(U409:X409)</f>
        <v>377</v>
      </c>
      <c r="U409" s="19">
        <v>0</v>
      </c>
      <c r="V409" s="19">
        <v>0</v>
      </c>
      <c r="W409" s="19">
        <v>377</v>
      </c>
      <c r="X409" s="19">
        <v>0</v>
      </c>
      <c r="Y409" s="18">
        <f>SUM(Z409:AC409)</f>
        <v>0</v>
      </c>
      <c r="Z409" s="19">
        <v>0</v>
      </c>
      <c r="AA409" s="19">
        <v>0</v>
      </c>
      <c r="AB409" s="19">
        <v>0</v>
      </c>
      <c r="AC409" s="19">
        <v>0</v>
      </c>
      <c r="AD409" s="18">
        <f>SUM(AE409:AH409)</f>
        <v>0</v>
      </c>
      <c r="AE409" s="19">
        <v>0</v>
      </c>
      <c r="AF409" s="19">
        <v>0</v>
      </c>
      <c r="AG409" s="19">
        <v>0</v>
      </c>
      <c r="AH409" s="19">
        <v>0</v>
      </c>
      <c r="AI409" s="18">
        <f>SUM(AJ409:AM409)</f>
        <v>0</v>
      </c>
      <c r="AJ409" s="19">
        <v>0</v>
      </c>
      <c r="AK409" s="19">
        <v>0</v>
      </c>
      <c r="AL409" s="19">
        <v>0</v>
      </c>
      <c r="AM409" s="19">
        <v>0</v>
      </c>
    </row>
    <row r="410" spans="1:39" s="2" customFormat="1" ht="78.75" outlineLevel="2" x14ac:dyDescent="0.25">
      <c r="A410" s="8" t="s">
        <v>811</v>
      </c>
      <c r="B410" s="116" t="s">
        <v>819</v>
      </c>
      <c r="C410" s="26" t="s">
        <v>32</v>
      </c>
      <c r="D410" s="25" t="s">
        <v>118</v>
      </c>
      <c r="E410" s="20">
        <f t="shared" ref="E410:E416" si="331">SUM(F410:I410)</f>
        <v>180</v>
      </c>
      <c r="F410" s="38"/>
      <c r="G410" s="38">
        <f t="shared" si="328"/>
        <v>0</v>
      </c>
      <c r="H410" s="38">
        <f t="shared" ref="H410:H416" si="332">M410+R410+W410+AB410+AG410+AL410</f>
        <v>180</v>
      </c>
      <c r="I410" s="38">
        <f t="shared" si="329"/>
        <v>0</v>
      </c>
      <c r="J410" s="18">
        <f t="shared" si="330"/>
        <v>0</v>
      </c>
      <c r="K410" s="19">
        <v>0</v>
      </c>
      <c r="L410" s="19">
        <v>0</v>
      </c>
      <c r="M410" s="19">
        <v>0</v>
      </c>
      <c r="N410" s="19">
        <v>0</v>
      </c>
      <c r="O410" s="18">
        <f t="shared" ref="O410:O416" si="333">SUM(P410:S410)</f>
        <v>0</v>
      </c>
      <c r="P410" s="19">
        <v>0</v>
      </c>
      <c r="Q410" s="19">
        <v>0</v>
      </c>
      <c r="R410" s="19">
        <v>0</v>
      </c>
      <c r="S410" s="19">
        <v>0</v>
      </c>
      <c r="T410" s="18">
        <f t="shared" ref="T410:T416" si="334">SUM(U410:X410)</f>
        <v>0</v>
      </c>
      <c r="U410" s="19">
        <v>0</v>
      </c>
      <c r="V410" s="19">
        <v>0</v>
      </c>
      <c r="W410" s="19">
        <v>0</v>
      </c>
      <c r="X410" s="19">
        <v>0</v>
      </c>
      <c r="Y410" s="18">
        <f t="shared" ref="Y410:Y416" si="335">SUM(Z410:AC410)</f>
        <v>180</v>
      </c>
      <c r="Z410" s="19">
        <v>0</v>
      </c>
      <c r="AA410" s="19">
        <v>0</v>
      </c>
      <c r="AB410" s="117">
        <v>180</v>
      </c>
      <c r="AC410" s="19">
        <v>0</v>
      </c>
      <c r="AD410" s="18">
        <f t="shared" ref="AD410:AD416" si="336">SUM(AE410:AH410)</f>
        <v>0</v>
      </c>
      <c r="AE410" s="19">
        <v>0</v>
      </c>
      <c r="AF410" s="19">
        <v>0</v>
      </c>
      <c r="AG410" s="19">
        <v>0</v>
      </c>
      <c r="AH410" s="19">
        <v>0</v>
      </c>
      <c r="AI410" s="18">
        <f t="shared" ref="AI410:AI416" si="337">SUM(AJ410:AM410)</f>
        <v>0</v>
      </c>
      <c r="AJ410" s="19">
        <v>0</v>
      </c>
      <c r="AK410" s="19">
        <v>0</v>
      </c>
      <c r="AL410" s="19">
        <v>0</v>
      </c>
      <c r="AM410" s="19">
        <v>0</v>
      </c>
    </row>
    <row r="411" spans="1:39" s="2" customFormat="1" ht="78.75" outlineLevel="2" x14ac:dyDescent="0.25">
      <c r="A411" s="8" t="s">
        <v>813</v>
      </c>
      <c r="B411" s="116" t="s">
        <v>820</v>
      </c>
      <c r="C411" s="26" t="s">
        <v>32</v>
      </c>
      <c r="D411" s="25" t="s">
        <v>118</v>
      </c>
      <c r="E411" s="20">
        <f t="shared" si="331"/>
        <v>30</v>
      </c>
      <c r="F411" s="38"/>
      <c r="G411" s="38">
        <f t="shared" si="328"/>
        <v>0</v>
      </c>
      <c r="H411" s="38">
        <f t="shared" si="332"/>
        <v>30</v>
      </c>
      <c r="I411" s="38">
        <f t="shared" si="329"/>
        <v>0</v>
      </c>
      <c r="J411" s="18">
        <f t="shared" si="330"/>
        <v>0</v>
      </c>
      <c r="K411" s="19">
        <v>0</v>
      </c>
      <c r="L411" s="19">
        <v>0</v>
      </c>
      <c r="M411" s="19">
        <v>0</v>
      </c>
      <c r="N411" s="19">
        <v>0</v>
      </c>
      <c r="O411" s="18">
        <f t="shared" si="333"/>
        <v>0</v>
      </c>
      <c r="P411" s="19">
        <v>0</v>
      </c>
      <c r="Q411" s="19">
        <v>0</v>
      </c>
      <c r="R411" s="19">
        <v>0</v>
      </c>
      <c r="S411" s="19">
        <v>0</v>
      </c>
      <c r="T411" s="18">
        <f t="shared" si="334"/>
        <v>0</v>
      </c>
      <c r="U411" s="19">
        <v>0</v>
      </c>
      <c r="V411" s="19">
        <v>0</v>
      </c>
      <c r="W411" s="19">
        <v>0</v>
      </c>
      <c r="X411" s="19">
        <v>0</v>
      </c>
      <c r="Y411" s="18">
        <f t="shared" si="335"/>
        <v>30</v>
      </c>
      <c r="Z411" s="19">
        <v>0</v>
      </c>
      <c r="AA411" s="19">
        <v>0</v>
      </c>
      <c r="AB411" s="117">
        <v>30</v>
      </c>
      <c r="AC411" s="19">
        <v>0</v>
      </c>
      <c r="AD411" s="18">
        <f t="shared" si="336"/>
        <v>0</v>
      </c>
      <c r="AE411" s="19">
        <v>0</v>
      </c>
      <c r="AF411" s="19">
        <v>0</v>
      </c>
      <c r="AG411" s="19">
        <v>0</v>
      </c>
      <c r="AH411" s="19">
        <v>0</v>
      </c>
      <c r="AI411" s="18">
        <f t="shared" si="337"/>
        <v>0</v>
      </c>
      <c r="AJ411" s="19">
        <v>0</v>
      </c>
      <c r="AK411" s="19">
        <v>0</v>
      </c>
      <c r="AL411" s="19">
        <v>0</v>
      </c>
      <c r="AM411" s="19">
        <v>0</v>
      </c>
    </row>
    <row r="412" spans="1:39" s="2" customFormat="1" ht="78.75" outlineLevel="2" x14ac:dyDescent="0.25">
      <c r="A412" s="8" t="s">
        <v>814</v>
      </c>
      <c r="B412" s="116" t="s">
        <v>821</v>
      </c>
      <c r="C412" s="26" t="s">
        <v>32</v>
      </c>
      <c r="D412" s="25" t="s">
        <v>118</v>
      </c>
      <c r="E412" s="20">
        <f t="shared" si="331"/>
        <v>90</v>
      </c>
      <c r="F412" s="38"/>
      <c r="G412" s="38">
        <f t="shared" si="328"/>
        <v>0</v>
      </c>
      <c r="H412" s="38">
        <f t="shared" si="332"/>
        <v>90</v>
      </c>
      <c r="I412" s="38">
        <f t="shared" si="329"/>
        <v>0</v>
      </c>
      <c r="J412" s="18">
        <f t="shared" si="330"/>
        <v>0</v>
      </c>
      <c r="K412" s="19">
        <v>0</v>
      </c>
      <c r="L412" s="19">
        <v>0</v>
      </c>
      <c r="M412" s="19">
        <v>0</v>
      </c>
      <c r="N412" s="19">
        <v>0</v>
      </c>
      <c r="O412" s="18">
        <f t="shared" si="333"/>
        <v>0</v>
      </c>
      <c r="P412" s="19">
        <v>0</v>
      </c>
      <c r="Q412" s="19">
        <v>0</v>
      </c>
      <c r="R412" s="19">
        <v>0</v>
      </c>
      <c r="S412" s="19">
        <v>0</v>
      </c>
      <c r="T412" s="18">
        <f t="shared" si="334"/>
        <v>0</v>
      </c>
      <c r="U412" s="19">
        <v>0</v>
      </c>
      <c r="V412" s="19">
        <v>0</v>
      </c>
      <c r="W412" s="19">
        <v>0</v>
      </c>
      <c r="X412" s="19">
        <v>0</v>
      </c>
      <c r="Y412" s="18">
        <f t="shared" si="335"/>
        <v>90</v>
      </c>
      <c r="Z412" s="19">
        <v>0</v>
      </c>
      <c r="AA412" s="19">
        <v>0</v>
      </c>
      <c r="AB412" s="117">
        <v>90</v>
      </c>
      <c r="AC412" s="19">
        <v>0</v>
      </c>
      <c r="AD412" s="18">
        <f t="shared" si="336"/>
        <v>0</v>
      </c>
      <c r="AE412" s="19">
        <v>0</v>
      </c>
      <c r="AF412" s="19">
        <v>0</v>
      </c>
      <c r="AG412" s="19">
        <v>0</v>
      </c>
      <c r="AH412" s="19">
        <v>0</v>
      </c>
      <c r="AI412" s="18">
        <f t="shared" si="337"/>
        <v>0</v>
      </c>
      <c r="AJ412" s="19">
        <v>0</v>
      </c>
      <c r="AK412" s="19">
        <v>0</v>
      </c>
      <c r="AL412" s="19">
        <v>0</v>
      </c>
      <c r="AM412" s="19">
        <v>0</v>
      </c>
    </row>
    <row r="413" spans="1:39" s="2" customFormat="1" ht="78.75" outlineLevel="2" x14ac:dyDescent="0.25">
      <c r="A413" s="8" t="s">
        <v>815</v>
      </c>
      <c r="B413" s="116" t="s">
        <v>822</v>
      </c>
      <c r="C413" s="26" t="s">
        <v>32</v>
      </c>
      <c r="D413" s="25" t="s">
        <v>118</v>
      </c>
      <c r="E413" s="20">
        <f t="shared" si="331"/>
        <v>150</v>
      </c>
      <c r="F413" s="38"/>
      <c r="G413" s="38">
        <f t="shared" si="328"/>
        <v>0</v>
      </c>
      <c r="H413" s="38">
        <f t="shared" si="332"/>
        <v>150</v>
      </c>
      <c r="I413" s="38">
        <f t="shared" si="329"/>
        <v>0</v>
      </c>
      <c r="J413" s="18">
        <f t="shared" si="330"/>
        <v>0</v>
      </c>
      <c r="K413" s="19">
        <v>0</v>
      </c>
      <c r="L413" s="19">
        <v>0</v>
      </c>
      <c r="M413" s="19">
        <v>0</v>
      </c>
      <c r="N413" s="19">
        <v>0</v>
      </c>
      <c r="O413" s="18">
        <f t="shared" si="333"/>
        <v>0</v>
      </c>
      <c r="P413" s="19">
        <v>0</v>
      </c>
      <c r="Q413" s="19">
        <v>0</v>
      </c>
      <c r="R413" s="19">
        <v>0</v>
      </c>
      <c r="S413" s="19">
        <v>0</v>
      </c>
      <c r="T413" s="18">
        <f t="shared" si="334"/>
        <v>0</v>
      </c>
      <c r="U413" s="19">
        <v>0</v>
      </c>
      <c r="V413" s="19">
        <v>0</v>
      </c>
      <c r="W413" s="19">
        <v>0</v>
      </c>
      <c r="X413" s="19">
        <v>0</v>
      </c>
      <c r="Y413" s="18">
        <f t="shared" si="335"/>
        <v>150</v>
      </c>
      <c r="Z413" s="19">
        <v>0</v>
      </c>
      <c r="AA413" s="19">
        <v>0</v>
      </c>
      <c r="AB413" s="117">
        <v>150</v>
      </c>
      <c r="AC413" s="19">
        <v>0</v>
      </c>
      <c r="AD413" s="18">
        <f t="shared" si="336"/>
        <v>0</v>
      </c>
      <c r="AE413" s="19">
        <v>0</v>
      </c>
      <c r="AF413" s="19">
        <v>0</v>
      </c>
      <c r="AG413" s="19">
        <v>0</v>
      </c>
      <c r="AH413" s="19">
        <v>0</v>
      </c>
      <c r="AI413" s="18">
        <f t="shared" si="337"/>
        <v>0</v>
      </c>
      <c r="AJ413" s="19">
        <v>0</v>
      </c>
      <c r="AK413" s="19">
        <v>0</v>
      </c>
      <c r="AL413" s="19">
        <v>0</v>
      </c>
      <c r="AM413" s="19">
        <v>0</v>
      </c>
    </row>
    <row r="414" spans="1:39" s="2" customFormat="1" ht="78.75" outlineLevel="2" x14ac:dyDescent="0.25">
      <c r="A414" s="8" t="s">
        <v>816</v>
      </c>
      <c r="B414" s="116" t="s">
        <v>823</v>
      </c>
      <c r="C414" s="26" t="s">
        <v>32</v>
      </c>
      <c r="D414" s="25" t="s">
        <v>118</v>
      </c>
      <c r="E414" s="20">
        <f t="shared" si="331"/>
        <v>30</v>
      </c>
      <c r="F414" s="38"/>
      <c r="G414" s="38">
        <f t="shared" si="328"/>
        <v>0</v>
      </c>
      <c r="H414" s="38">
        <f t="shared" si="332"/>
        <v>30</v>
      </c>
      <c r="I414" s="38">
        <f t="shared" si="329"/>
        <v>0</v>
      </c>
      <c r="J414" s="18">
        <f>SUM(K414:N414)</f>
        <v>0</v>
      </c>
      <c r="K414" s="19">
        <v>0</v>
      </c>
      <c r="L414" s="19">
        <v>0</v>
      </c>
      <c r="M414" s="19">
        <v>0</v>
      </c>
      <c r="N414" s="19">
        <v>0</v>
      </c>
      <c r="O414" s="18">
        <f t="shared" si="333"/>
        <v>0</v>
      </c>
      <c r="P414" s="19">
        <v>0</v>
      </c>
      <c r="Q414" s="19">
        <v>0</v>
      </c>
      <c r="R414" s="19">
        <v>0</v>
      </c>
      <c r="S414" s="19">
        <v>0</v>
      </c>
      <c r="T414" s="18">
        <f t="shared" si="334"/>
        <v>0</v>
      </c>
      <c r="U414" s="19">
        <v>0</v>
      </c>
      <c r="V414" s="19">
        <v>0</v>
      </c>
      <c r="W414" s="19">
        <v>0</v>
      </c>
      <c r="X414" s="19">
        <v>0</v>
      </c>
      <c r="Y414" s="18">
        <f t="shared" si="335"/>
        <v>30</v>
      </c>
      <c r="Z414" s="19">
        <v>0</v>
      </c>
      <c r="AA414" s="19">
        <v>0</v>
      </c>
      <c r="AB414" s="117">
        <v>30</v>
      </c>
      <c r="AC414" s="19">
        <v>0</v>
      </c>
      <c r="AD414" s="18">
        <f t="shared" si="336"/>
        <v>0</v>
      </c>
      <c r="AE414" s="19">
        <v>0</v>
      </c>
      <c r="AF414" s="19">
        <v>0</v>
      </c>
      <c r="AG414" s="19">
        <v>0</v>
      </c>
      <c r="AH414" s="19">
        <v>0</v>
      </c>
      <c r="AI414" s="18">
        <f t="shared" si="337"/>
        <v>0</v>
      </c>
      <c r="AJ414" s="19">
        <v>0</v>
      </c>
      <c r="AK414" s="19">
        <v>0</v>
      </c>
      <c r="AL414" s="19">
        <v>0</v>
      </c>
      <c r="AM414" s="19">
        <v>0</v>
      </c>
    </row>
    <row r="415" spans="1:39" s="2" customFormat="1" ht="78.75" outlineLevel="2" x14ac:dyDescent="0.25">
      <c r="A415" s="8" t="s">
        <v>817</v>
      </c>
      <c r="B415" s="116" t="s">
        <v>824</v>
      </c>
      <c r="C415" s="26" t="s">
        <v>32</v>
      </c>
      <c r="D415" s="25" t="s">
        <v>118</v>
      </c>
      <c r="E415" s="20">
        <f t="shared" si="331"/>
        <v>60</v>
      </c>
      <c r="F415" s="38"/>
      <c r="G415" s="38">
        <f t="shared" si="328"/>
        <v>0</v>
      </c>
      <c r="H415" s="38">
        <f t="shared" si="332"/>
        <v>60</v>
      </c>
      <c r="I415" s="38">
        <f t="shared" si="329"/>
        <v>0</v>
      </c>
      <c r="J415" s="18">
        <f>SUM(K415:N415)</f>
        <v>0</v>
      </c>
      <c r="K415" s="19">
        <v>0</v>
      </c>
      <c r="L415" s="19">
        <v>0</v>
      </c>
      <c r="M415" s="19">
        <v>0</v>
      </c>
      <c r="N415" s="19">
        <v>0</v>
      </c>
      <c r="O415" s="18">
        <f t="shared" si="333"/>
        <v>0</v>
      </c>
      <c r="P415" s="19">
        <v>0</v>
      </c>
      <c r="Q415" s="19">
        <v>0</v>
      </c>
      <c r="R415" s="19">
        <v>0</v>
      </c>
      <c r="S415" s="19">
        <v>0</v>
      </c>
      <c r="T415" s="18">
        <f t="shared" si="334"/>
        <v>0</v>
      </c>
      <c r="U415" s="19">
        <v>0</v>
      </c>
      <c r="V415" s="19">
        <v>0</v>
      </c>
      <c r="W415" s="19">
        <v>0</v>
      </c>
      <c r="X415" s="19">
        <v>0</v>
      </c>
      <c r="Y415" s="18">
        <f t="shared" si="335"/>
        <v>60</v>
      </c>
      <c r="Z415" s="19">
        <v>0</v>
      </c>
      <c r="AA415" s="19">
        <v>0</v>
      </c>
      <c r="AB415" s="117">
        <v>60</v>
      </c>
      <c r="AC415" s="19">
        <v>0</v>
      </c>
      <c r="AD415" s="18">
        <f t="shared" si="336"/>
        <v>0</v>
      </c>
      <c r="AE415" s="19">
        <v>0</v>
      </c>
      <c r="AF415" s="19">
        <v>0</v>
      </c>
      <c r="AG415" s="19">
        <v>0</v>
      </c>
      <c r="AH415" s="19">
        <v>0</v>
      </c>
      <c r="AI415" s="18">
        <f t="shared" si="337"/>
        <v>0</v>
      </c>
      <c r="AJ415" s="19">
        <v>0</v>
      </c>
      <c r="AK415" s="19">
        <v>0</v>
      </c>
      <c r="AL415" s="19">
        <v>0</v>
      </c>
      <c r="AM415" s="19">
        <v>0</v>
      </c>
    </row>
    <row r="416" spans="1:39" s="2" customFormat="1" ht="78.75" outlineLevel="2" x14ac:dyDescent="0.25">
      <c r="A416" s="8" t="s">
        <v>818</v>
      </c>
      <c r="B416" s="116" t="s">
        <v>825</v>
      </c>
      <c r="C416" s="26" t="s">
        <v>32</v>
      </c>
      <c r="D416" s="25" t="s">
        <v>118</v>
      </c>
      <c r="E416" s="20">
        <f t="shared" si="331"/>
        <v>30</v>
      </c>
      <c r="F416" s="38"/>
      <c r="G416" s="38">
        <f t="shared" si="328"/>
        <v>0</v>
      </c>
      <c r="H416" s="38">
        <f t="shared" si="332"/>
        <v>30</v>
      </c>
      <c r="I416" s="38">
        <f t="shared" si="329"/>
        <v>0</v>
      </c>
      <c r="J416" s="18">
        <f>SUM(K416:N416)</f>
        <v>0</v>
      </c>
      <c r="K416" s="19">
        <v>0</v>
      </c>
      <c r="L416" s="19">
        <v>0</v>
      </c>
      <c r="M416" s="19">
        <v>0</v>
      </c>
      <c r="N416" s="19">
        <v>0</v>
      </c>
      <c r="O416" s="18">
        <f t="shared" si="333"/>
        <v>0</v>
      </c>
      <c r="P416" s="19">
        <v>0</v>
      </c>
      <c r="Q416" s="19">
        <v>0</v>
      </c>
      <c r="R416" s="19">
        <v>0</v>
      </c>
      <c r="S416" s="19">
        <v>0</v>
      </c>
      <c r="T416" s="18">
        <f t="shared" si="334"/>
        <v>0</v>
      </c>
      <c r="U416" s="19">
        <v>0</v>
      </c>
      <c r="V416" s="19">
        <v>0</v>
      </c>
      <c r="W416" s="19">
        <v>0</v>
      </c>
      <c r="X416" s="19">
        <v>0</v>
      </c>
      <c r="Y416" s="18">
        <f t="shared" si="335"/>
        <v>30</v>
      </c>
      <c r="Z416" s="19">
        <v>0</v>
      </c>
      <c r="AA416" s="19">
        <v>0</v>
      </c>
      <c r="AB416" s="117">
        <v>30</v>
      </c>
      <c r="AC416" s="19">
        <v>0</v>
      </c>
      <c r="AD416" s="18">
        <f t="shared" si="336"/>
        <v>0</v>
      </c>
      <c r="AE416" s="19">
        <v>0</v>
      </c>
      <c r="AF416" s="19">
        <v>0</v>
      </c>
      <c r="AG416" s="19">
        <v>0</v>
      </c>
      <c r="AH416" s="19">
        <v>0</v>
      </c>
      <c r="AI416" s="18">
        <f t="shared" si="337"/>
        <v>0</v>
      </c>
      <c r="AJ416" s="19">
        <v>0</v>
      </c>
      <c r="AK416" s="19">
        <v>0</v>
      </c>
      <c r="AL416" s="19">
        <v>0</v>
      </c>
      <c r="AM416" s="19">
        <v>0</v>
      </c>
    </row>
    <row r="417" spans="1:39" s="2" customFormat="1" ht="42" customHeight="1" outlineLevel="1" x14ac:dyDescent="0.25">
      <c r="A417" s="138" t="s">
        <v>309</v>
      </c>
      <c r="B417" s="183" t="s">
        <v>367</v>
      </c>
      <c r="C417" s="180"/>
      <c r="D417" s="181"/>
      <c r="E417" s="20">
        <f>SUM(E418)</f>
        <v>51</v>
      </c>
      <c r="F417" s="20">
        <f t="shared" ref="F417:AM417" si="338">SUM(F418)</f>
        <v>0</v>
      </c>
      <c r="G417" s="20">
        <f t="shared" si="338"/>
        <v>0</v>
      </c>
      <c r="H417" s="20">
        <f t="shared" si="338"/>
        <v>51</v>
      </c>
      <c r="I417" s="20">
        <f t="shared" si="338"/>
        <v>0</v>
      </c>
      <c r="J417" s="20">
        <f t="shared" si="338"/>
        <v>51</v>
      </c>
      <c r="K417" s="20">
        <f t="shared" si="338"/>
        <v>0</v>
      </c>
      <c r="L417" s="20">
        <f t="shared" si="338"/>
        <v>0</v>
      </c>
      <c r="M417" s="20">
        <f t="shared" si="338"/>
        <v>51</v>
      </c>
      <c r="N417" s="20">
        <f t="shared" si="338"/>
        <v>0</v>
      </c>
      <c r="O417" s="20">
        <f t="shared" si="338"/>
        <v>0</v>
      </c>
      <c r="P417" s="20">
        <f t="shared" si="338"/>
        <v>0</v>
      </c>
      <c r="Q417" s="20">
        <f t="shared" si="338"/>
        <v>0</v>
      </c>
      <c r="R417" s="20">
        <f t="shared" si="338"/>
        <v>0</v>
      </c>
      <c r="S417" s="20">
        <f t="shared" si="338"/>
        <v>0</v>
      </c>
      <c r="T417" s="20">
        <f t="shared" si="338"/>
        <v>0</v>
      </c>
      <c r="U417" s="20">
        <f t="shared" si="338"/>
        <v>0</v>
      </c>
      <c r="V417" s="20">
        <f t="shared" si="338"/>
        <v>0</v>
      </c>
      <c r="W417" s="20">
        <f t="shared" si="338"/>
        <v>0</v>
      </c>
      <c r="X417" s="20">
        <f t="shared" si="338"/>
        <v>0</v>
      </c>
      <c r="Y417" s="20">
        <f t="shared" si="338"/>
        <v>0</v>
      </c>
      <c r="Z417" s="20">
        <f t="shared" si="338"/>
        <v>0</v>
      </c>
      <c r="AA417" s="20">
        <f t="shared" si="338"/>
        <v>0</v>
      </c>
      <c r="AB417" s="20">
        <f t="shared" si="338"/>
        <v>0</v>
      </c>
      <c r="AC417" s="20">
        <f t="shared" si="338"/>
        <v>0</v>
      </c>
      <c r="AD417" s="20">
        <f t="shared" si="338"/>
        <v>0</v>
      </c>
      <c r="AE417" s="20">
        <f t="shared" si="338"/>
        <v>0</v>
      </c>
      <c r="AF417" s="20">
        <f t="shared" si="338"/>
        <v>0</v>
      </c>
      <c r="AG417" s="20">
        <f t="shared" si="338"/>
        <v>0</v>
      </c>
      <c r="AH417" s="20">
        <f t="shared" si="338"/>
        <v>0</v>
      </c>
      <c r="AI417" s="20">
        <f t="shared" si="338"/>
        <v>0</v>
      </c>
      <c r="AJ417" s="20">
        <f t="shared" si="338"/>
        <v>0</v>
      </c>
      <c r="AK417" s="20">
        <f t="shared" si="338"/>
        <v>0</v>
      </c>
      <c r="AL417" s="20">
        <f t="shared" si="338"/>
        <v>0</v>
      </c>
      <c r="AM417" s="20">
        <f t="shared" si="338"/>
        <v>0</v>
      </c>
    </row>
    <row r="418" spans="1:39" s="2" customFormat="1" ht="31.5" outlineLevel="3" x14ac:dyDescent="0.25">
      <c r="A418" s="8" t="s">
        <v>369</v>
      </c>
      <c r="B418" s="33" t="s">
        <v>58</v>
      </c>
      <c r="C418" s="26" t="s">
        <v>32</v>
      </c>
      <c r="D418" s="26" t="s">
        <v>118</v>
      </c>
      <c r="E418" s="20">
        <f>SUM(F418:I418)</f>
        <v>51</v>
      </c>
      <c r="F418" s="38">
        <f>K418+P418+U418</f>
        <v>0</v>
      </c>
      <c r="G418" s="38">
        <f>L418+Q418+V418+AA418+AF418+AK418</f>
        <v>0</v>
      </c>
      <c r="H418" s="38">
        <f>M418+R418+W418+AB418+AG418+AL418</f>
        <v>51</v>
      </c>
      <c r="I418" s="38">
        <f t="shared" ref="I418:I430" si="339">N418+S418+X418+AC418+AH418+AM418</f>
        <v>0</v>
      </c>
      <c r="J418" s="18">
        <f>SUM(K418:N418)</f>
        <v>51</v>
      </c>
      <c r="K418" s="19">
        <v>0</v>
      </c>
      <c r="L418" s="19">
        <v>0</v>
      </c>
      <c r="M418" s="19">
        <v>51</v>
      </c>
      <c r="N418" s="19">
        <v>0</v>
      </c>
      <c r="O418" s="18">
        <f>SUM(P418:S418)</f>
        <v>0</v>
      </c>
      <c r="P418" s="19">
        <v>0</v>
      </c>
      <c r="Q418" s="19">
        <v>0</v>
      </c>
      <c r="R418" s="19">
        <v>0</v>
      </c>
      <c r="S418" s="19">
        <v>0</v>
      </c>
      <c r="T418" s="18">
        <f>SUM(U418:X418)</f>
        <v>0</v>
      </c>
      <c r="U418" s="19">
        <v>0</v>
      </c>
      <c r="V418" s="19">
        <v>0</v>
      </c>
      <c r="W418" s="19">
        <v>0</v>
      </c>
      <c r="X418" s="19">
        <v>0</v>
      </c>
      <c r="Y418" s="18">
        <f>SUM(Z418:AC418)</f>
        <v>0</v>
      </c>
      <c r="Z418" s="19">
        <v>0</v>
      </c>
      <c r="AA418" s="19">
        <v>0</v>
      </c>
      <c r="AB418" s="19">
        <v>0</v>
      </c>
      <c r="AC418" s="19">
        <v>0</v>
      </c>
      <c r="AD418" s="18">
        <f>SUM(AE418:AH418)</f>
        <v>0</v>
      </c>
      <c r="AE418" s="19">
        <v>0</v>
      </c>
      <c r="AF418" s="19">
        <v>0</v>
      </c>
      <c r="AG418" s="19">
        <v>0</v>
      </c>
      <c r="AH418" s="19">
        <v>0</v>
      </c>
      <c r="AI418" s="18">
        <f>SUM(AJ418:AM418)</f>
        <v>0</v>
      </c>
      <c r="AJ418" s="19">
        <v>0</v>
      </c>
      <c r="AK418" s="19">
        <v>0</v>
      </c>
      <c r="AL418" s="19">
        <v>0</v>
      </c>
      <c r="AM418" s="19">
        <v>0</v>
      </c>
    </row>
    <row r="419" spans="1:39" s="2" customFormat="1" ht="31.5" customHeight="1" outlineLevel="1" x14ac:dyDescent="0.25">
      <c r="A419" s="138" t="s">
        <v>370</v>
      </c>
      <c r="B419" s="183" t="s">
        <v>371</v>
      </c>
      <c r="C419" s="180"/>
      <c r="D419" s="181"/>
      <c r="E419" s="20">
        <f>SUM(E420:E438)</f>
        <v>12578.499999999998</v>
      </c>
      <c r="F419" s="20">
        <f t="shared" ref="F419:AM419" si="340">SUM(F420:F438)</f>
        <v>0</v>
      </c>
      <c r="G419" s="20">
        <f t="shared" si="340"/>
        <v>0</v>
      </c>
      <c r="H419" s="20">
        <f t="shared" si="340"/>
        <v>12578.499999999998</v>
      </c>
      <c r="I419" s="20">
        <f t="shared" si="340"/>
        <v>0</v>
      </c>
      <c r="J419" s="20">
        <f t="shared" si="340"/>
        <v>1193.5000000000002</v>
      </c>
      <c r="K419" s="20">
        <f t="shared" si="340"/>
        <v>0</v>
      </c>
      <c r="L419" s="20">
        <f t="shared" si="340"/>
        <v>0</v>
      </c>
      <c r="M419" s="20">
        <f t="shared" si="340"/>
        <v>1193.5000000000002</v>
      </c>
      <c r="N419" s="20">
        <f t="shared" si="340"/>
        <v>0</v>
      </c>
      <c r="O419" s="20">
        <f t="shared" si="340"/>
        <v>8937.5</v>
      </c>
      <c r="P419" s="20">
        <f t="shared" si="340"/>
        <v>0</v>
      </c>
      <c r="Q419" s="20">
        <f t="shared" si="340"/>
        <v>0</v>
      </c>
      <c r="R419" s="20">
        <f t="shared" si="340"/>
        <v>8937.5</v>
      </c>
      <c r="S419" s="20">
        <f t="shared" si="340"/>
        <v>0</v>
      </c>
      <c r="T419" s="20">
        <f t="shared" si="340"/>
        <v>2447.5</v>
      </c>
      <c r="U419" s="20">
        <f t="shared" si="340"/>
        <v>0</v>
      </c>
      <c r="V419" s="20">
        <f t="shared" si="340"/>
        <v>0</v>
      </c>
      <c r="W419" s="20">
        <f t="shared" si="340"/>
        <v>2447.5</v>
      </c>
      <c r="X419" s="20">
        <f t="shared" si="340"/>
        <v>0</v>
      </c>
      <c r="Y419" s="20">
        <f t="shared" si="340"/>
        <v>0</v>
      </c>
      <c r="Z419" s="20">
        <f t="shared" si="340"/>
        <v>0</v>
      </c>
      <c r="AA419" s="20">
        <f t="shared" si="340"/>
        <v>0</v>
      </c>
      <c r="AB419" s="20">
        <f t="shared" si="340"/>
        <v>0</v>
      </c>
      <c r="AC419" s="20">
        <f t="shared" si="340"/>
        <v>0</v>
      </c>
      <c r="AD419" s="20">
        <f t="shared" si="340"/>
        <v>0</v>
      </c>
      <c r="AE419" s="20">
        <f t="shared" si="340"/>
        <v>0</v>
      </c>
      <c r="AF419" s="20">
        <f t="shared" si="340"/>
        <v>0</v>
      </c>
      <c r="AG419" s="20">
        <f t="shared" si="340"/>
        <v>0</v>
      </c>
      <c r="AH419" s="20">
        <f t="shared" si="340"/>
        <v>0</v>
      </c>
      <c r="AI419" s="20">
        <f t="shared" si="340"/>
        <v>0</v>
      </c>
      <c r="AJ419" s="20">
        <f t="shared" si="340"/>
        <v>0</v>
      </c>
      <c r="AK419" s="20">
        <f t="shared" si="340"/>
        <v>0</v>
      </c>
      <c r="AL419" s="20">
        <f t="shared" si="340"/>
        <v>0</v>
      </c>
      <c r="AM419" s="20">
        <f t="shared" si="340"/>
        <v>0</v>
      </c>
    </row>
    <row r="420" spans="1:39" s="2" customFormat="1" ht="78.75" outlineLevel="3" x14ac:dyDescent="0.25">
      <c r="A420" s="8" t="s">
        <v>563</v>
      </c>
      <c r="B420" s="33" t="s">
        <v>361</v>
      </c>
      <c r="C420" s="26" t="s">
        <v>377</v>
      </c>
      <c r="D420" s="26" t="s">
        <v>118</v>
      </c>
      <c r="E420" s="20">
        <f t="shared" ref="E420:E436" si="341">SUM(F420:I420)</f>
        <v>3126.5</v>
      </c>
      <c r="F420" s="38">
        <f>K420+P420+U420</f>
        <v>0</v>
      </c>
      <c r="G420" s="38">
        <f t="shared" ref="G420:G436" si="342">L420+Q420+V420+AA420+AF420+AK420</f>
        <v>0</v>
      </c>
      <c r="H420" s="38">
        <f t="shared" ref="H420:H436" si="343">M420+R420+W420+AB420+AG420+AL420</f>
        <v>3126.5</v>
      </c>
      <c r="I420" s="38">
        <f t="shared" si="339"/>
        <v>0</v>
      </c>
      <c r="J420" s="18">
        <f t="shared" ref="J420:J434" si="344">SUM(K420:N420)</f>
        <v>991.30000000000018</v>
      </c>
      <c r="K420" s="19">
        <v>0</v>
      </c>
      <c r="L420" s="19">
        <v>0</v>
      </c>
      <c r="M420" s="19">
        <f>3126.5-2135.2</f>
        <v>991.30000000000018</v>
      </c>
      <c r="N420" s="19">
        <v>0</v>
      </c>
      <c r="O420" s="18">
        <f t="shared" ref="O420:O434" si="345">Q420+R420+S420</f>
        <v>2135.1999999999998</v>
      </c>
      <c r="P420" s="19">
        <v>0</v>
      </c>
      <c r="Q420" s="19">
        <v>0</v>
      </c>
      <c r="R420" s="19">
        <v>2135.1999999999998</v>
      </c>
      <c r="S420" s="19">
        <v>0</v>
      </c>
      <c r="T420" s="18">
        <f t="shared" ref="T420:T436" si="346">SUM(U420:X420)</f>
        <v>0</v>
      </c>
      <c r="U420" s="19">
        <v>0</v>
      </c>
      <c r="V420" s="19">
        <v>0</v>
      </c>
      <c r="W420" s="19">
        <v>0</v>
      </c>
      <c r="X420" s="19">
        <v>0</v>
      </c>
      <c r="Y420" s="18">
        <f t="shared" ref="Y420:Y433" si="347">SUM(Z420:AC420)</f>
        <v>0</v>
      </c>
      <c r="Z420" s="19">
        <v>0</v>
      </c>
      <c r="AA420" s="19">
        <v>0</v>
      </c>
      <c r="AB420" s="19">
        <v>0</v>
      </c>
      <c r="AC420" s="19">
        <v>0</v>
      </c>
      <c r="AD420" s="18">
        <f t="shared" ref="AD420:AD433" si="348">SUM(AE420:AH420)</f>
        <v>0</v>
      </c>
      <c r="AE420" s="19">
        <v>0</v>
      </c>
      <c r="AF420" s="19">
        <v>0</v>
      </c>
      <c r="AG420" s="19">
        <v>0</v>
      </c>
      <c r="AH420" s="19">
        <v>0</v>
      </c>
      <c r="AI420" s="18">
        <f t="shared" ref="AI420:AI433" si="349">SUM(AJ420:AM420)</f>
        <v>0</v>
      </c>
      <c r="AJ420" s="19">
        <v>0</v>
      </c>
      <c r="AK420" s="19">
        <v>0</v>
      </c>
      <c r="AL420" s="19">
        <v>0</v>
      </c>
      <c r="AM420" s="19">
        <v>0</v>
      </c>
    </row>
    <row r="421" spans="1:39" s="2" customFormat="1" ht="94.5" outlineLevel="3" x14ac:dyDescent="0.25">
      <c r="A421" s="8" t="s">
        <v>422</v>
      </c>
      <c r="B421" s="33" t="s">
        <v>372</v>
      </c>
      <c r="C421" s="26" t="s">
        <v>32</v>
      </c>
      <c r="D421" s="26" t="s">
        <v>118</v>
      </c>
      <c r="E421" s="20">
        <f t="shared" si="341"/>
        <v>202.2</v>
      </c>
      <c r="F421" s="38">
        <f t="shared" ref="F421:F427" si="350">K421+P421+U421</f>
        <v>0</v>
      </c>
      <c r="G421" s="38">
        <f t="shared" si="342"/>
        <v>0</v>
      </c>
      <c r="H421" s="38">
        <f t="shared" si="343"/>
        <v>202.2</v>
      </c>
      <c r="I421" s="38">
        <f t="shared" si="339"/>
        <v>0</v>
      </c>
      <c r="J421" s="18">
        <f t="shared" si="344"/>
        <v>202.2</v>
      </c>
      <c r="K421" s="19">
        <v>0</v>
      </c>
      <c r="L421" s="19">
        <v>0</v>
      </c>
      <c r="M421" s="19">
        <v>202.2</v>
      </c>
      <c r="N421" s="19">
        <v>0</v>
      </c>
      <c r="O421" s="18">
        <f t="shared" si="345"/>
        <v>0</v>
      </c>
      <c r="P421" s="19">
        <v>0</v>
      </c>
      <c r="Q421" s="19">
        <v>0</v>
      </c>
      <c r="R421" s="19">
        <v>0</v>
      </c>
      <c r="S421" s="19">
        <v>0</v>
      </c>
      <c r="T421" s="18">
        <f t="shared" si="346"/>
        <v>0</v>
      </c>
      <c r="U421" s="19">
        <v>0</v>
      </c>
      <c r="V421" s="19">
        <v>0</v>
      </c>
      <c r="W421" s="19">
        <v>0</v>
      </c>
      <c r="X421" s="19">
        <v>0</v>
      </c>
      <c r="Y421" s="18">
        <f t="shared" si="347"/>
        <v>0</v>
      </c>
      <c r="Z421" s="19">
        <v>0</v>
      </c>
      <c r="AA421" s="19">
        <v>0</v>
      </c>
      <c r="AB421" s="19">
        <v>0</v>
      </c>
      <c r="AC421" s="19">
        <v>0</v>
      </c>
      <c r="AD421" s="18">
        <f t="shared" si="348"/>
        <v>0</v>
      </c>
      <c r="AE421" s="19">
        <v>0</v>
      </c>
      <c r="AF421" s="19">
        <v>0</v>
      </c>
      <c r="AG421" s="19">
        <v>0</v>
      </c>
      <c r="AH421" s="19">
        <v>0</v>
      </c>
      <c r="AI421" s="18">
        <f t="shared" si="349"/>
        <v>0</v>
      </c>
      <c r="AJ421" s="19">
        <v>0</v>
      </c>
      <c r="AK421" s="19">
        <v>0</v>
      </c>
      <c r="AL421" s="19">
        <v>0</v>
      </c>
      <c r="AM421" s="19">
        <v>0</v>
      </c>
    </row>
    <row r="422" spans="1:39" s="2" customFormat="1" ht="78.75" outlineLevel="3" x14ac:dyDescent="0.25">
      <c r="A422" s="8" t="s">
        <v>564</v>
      </c>
      <c r="B422" s="33" t="s">
        <v>740</v>
      </c>
      <c r="C422" s="26" t="s">
        <v>32</v>
      </c>
      <c r="D422" s="26" t="s">
        <v>118</v>
      </c>
      <c r="E422" s="20">
        <f t="shared" si="341"/>
        <v>226.1</v>
      </c>
      <c r="F422" s="38">
        <f>K422+P422+U422</f>
        <v>0</v>
      </c>
      <c r="G422" s="38">
        <f t="shared" si="342"/>
        <v>0</v>
      </c>
      <c r="H422" s="38">
        <f t="shared" si="343"/>
        <v>226.1</v>
      </c>
      <c r="I422" s="38">
        <f t="shared" ref="I422:I427" si="351">N422+S422+X422+AC422+AH422+AM422</f>
        <v>0</v>
      </c>
      <c r="J422" s="18">
        <f t="shared" si="344"/>
        <v>0</v>
      </c>
      <c r="K422" s="19">
        <v>0</v>
      </c>
      <c r="L422" s="19">
        <v>0</v>
      </c>
      <c r="M422" s="19">
        <v>0</v>
      </c>
      <c r="N422" s="19">
        <v>0</v>
      </c>
      <c r="O422" s="18">
        <f t="shared" si="345"/>
        <v>226.1</v>
      </c>
      <c r="P422" s="19">
        <v>0</v>
      </c>
      <c r="Q422" s="19">
        <v>0</v>
      </c>
      <c r="R422" s="19">
        <v>226.1</v>
      </c>
      <c r="S422" s="19">
        <v>0</v>
      </c>
      <c r="T422" s="18">
        <f t="shared" si="346"/>
        <v>0</v>
      </c>
      <c r="U422" s="19">
        <v>0</v>
      </c>
      <c r="V422" s="19">
        <v>0</v>
      </c>
      <c r="W422" s="19">
        <v>0</v>
      </c>
      <c r="X422" s="19">
        <v>0</v>
      </c>
      <c r="Y422" s="18">
        <f t="shared" si="347"/>
        <v>0</v>
      </c>
      <c r="Z422" s="19">
        <v>0</v>
      </c>
      <c r="AA422" s="19">
        <v>0</v>
      </c>
      <c r="AB422" s="19">
        <v>0</v>
      </c>
      <c r="AC422" s="19">
        <v>0</v>
      </c>
      <c r="AD422" s="18">
        <f t="shared" si="348"/>
        <v>0</v>
      </c>
      <c r="AE422" s="19">
        <v>0</v>
      </c>
      <c r="AF422" s="19">
        <v>0</v>
      </c>
      <c r="AG422" s="19">
        <v>0</v>
      </c>
      <c r="AH422" s="19">
        <v>0</v>
      </c>
      <c r="AI422" s="18">
        <f t="shared" si="349"/>
        <v>0</v>
      </c>
      <c r="AJ422" s="19">
        <v>0</v>
      </c>
      <c r="AK422" s="19">
        <v>0</v>
      </c>
      <c r="AL422" s="19">
        <v>0</v>
      </c>
      <c r="AM422" s="19">
        <v>0</v>
      </c>
    </row>
    <row r="423" spans="1:39" s="2" customFormat="1" ht="47.25" outlineLevel="3" x14ac:dyDescent="0.25">
      <c r="A423" s="8" t="s">
        <v>485</v>
      </c>
      <c r="B423" s="34" t="s">
        <v>510</v>
      </c>
      <c r="C423" s="26" t="s">
        <v>32</v>
      </c>
      <c r="D423" s="26" t="s">
        <v>118</v>
      </c>
      <c r="E423" s="20">
        <f t="shared" si="341"/>
        <v>568.9</v>
      </c>
      <c r="F423" s="38">
        <f t="shared" si="350"/>
        <v>0</v>
      </c>
      <c r="G423" s="38">
        <f t="shared" si="342"/>
        <v>0</v>
      </c>
      <c r="H423" s="38">
        <f t="shared" si="343"/>
        <v>568.9</v>
      </c>
      <c r="I423" s="38">
        <f t="shared" si="351"/>
        <v>0</v>
      </c>
      <c r="J423" s="18">
        <f t="shared" si="344"/>
        <v>0</v>
      </c>
      <c r="K423" s="19">
        <v>0</v>
      </c>
      <c r="L423" s="19">
        <v>0</v>
      </c>
      <c r="M423" s="19">
        <v>0</v>
      </c>
      <c r="N423" s="19">
        <v>0</v>
      </c>
      <c r="O423" s="18">
        <f t="shared" si="345"/>
        <v>568.9</v>
      </c>
      <c r="P423" s="19">
        <v>0</v>
      </c>
      <c r="Q423" s="19">
        <v>0</v>
      </c>
      <c r="R423" s="19">
        <f>861.9-293</f>
        <v>568.9</v>
      </c>
      <c r="S423" s="19">
        <v>0</v>
      </c>
      <c r="T423" s="18">
        <f t="shared" si="346"/>
        <v>0</v>
      </c>
      <c r="U423" s="19">
        <v>0</v>
      </c>
      <c r="V423" s="19">
        <v>0</v>
      </c>
      <c r="W423" s="19">
        <v>0</v>
      </c>
      <c r="X423" s="19">
        <v>0</v>
      </c>
      <c r="Y423" s="18">
        <f t="shared" si="347"/>
        <v>0</v>
      </c>
      <c r="Z423" s="19">
        <v>0</v>
      </c>
      <c r="AA423" s="19">
        <v>0</v>
      </c>
      <c r="AB423" s="19">
        <v>0</v>
      </c>
      <c r="AC423" s="19">
        <v>0</v>
      </c>
      <c r="AD423" s="18">
        <f t="shared" si="348"/>
        <v>0</v>
      </c>
      <c r="AE423" s="19">
        <v>0</v>
      </c>
      <c r="AF423" s="19">
        <v>0</v>
      </c>
      <c r="AG423" s="19">
        <v>0</v>
      </c>
      <c r="AH423" s="19">
        <v>0</v>
      </c>
      <c r="AI423" s="18">
        <f t="shared" si="349"/>
        <v>0</v>
      </c>
      <c r="AJ423" s="19">
        <v>0</v>
      </c>
      <c r="AK423" s="19">
        <v>0</v>
      </c>
      <c r="AL423" s="19">
        <v>0</v>
      </c>
      <c r="AM423" s="19">
        <v>0</v>
      </c>
    </row>
    <row r="424" spans="1:39" s="2" customFormat="1" ht="94.5" outlineLevel="3" x14ac:dyDescent="0.25">
      <c r="A424" s="8" t="s">
        <v>514</v>
      </c>
      <c r="B424" s="34" t="s">
        <v>569</v>
      </c>
      <c r="C424" s="26" t="s">
        <v>32</v>
      </c>
      <c r="D424" s="26" t="s">
        <v>118</v>
      </c>
      <c r="E424" s="20">
        <f t="shared" si="341"/>
        <v>22.299999999999997</v>
      </c>
      <c r="F424" s="38">
        <f>K424+P424+U424</f>
        <v>0</v>
      </c>
      <c r="G424" s="38">
        <f t="shared" si="342"/>
        <v>0</v>
      </c>
      <c r="H424" s="38">
        <f t="shared" si="343"/>
        <v>22.299999999999997</v>
      </c>
      <c r="I424" s="38">
        <f t="shared" si="351"/>
        <v>0</v>
      </c>
      <c r="J424" s="18">
        <f t="shared" si="344"/>
        <v>0</v>
      </c>
      <c r="K424" s="19">
        <v>0</v>
      </c>
      <c r="L424" s="19">
        <v>0</v>
      </c>
      <c r="M424" s="19">
        <v>0</v>
      </c>
      <c r="N424" s="19">
        <v>0</v>
      </c>
      <c r="O424" s="18">
        <f t="shared" si="345"/>
        <v>22.299999999999997</v>
      </c>
      <c r="P424" s="19">
        <v>0</v>
      </c>
      <c r="Q424" s="19">
        <v>0</v>
      </c>
      <c r="R424" s="19">
        <f>99-76.7</f>
        <v>22.299999999999997</v>
      </c>
      <c r="S424" s="19">
        <v>0</v>
      </c>
      <c r="T424" s="18">
        <f t="shared" si="346"/>
        <v>0</v>
      </c>
      <c r="U424" s="19">
        <v>0</v>
      </c>
      <c r="V424" s="19">
        <v>0</v>
      </c>
      <c r="W424" s="19">
        <v>0</v>
      </c>
      <c r="X424" s="19">
        <v>0</v>
      </c>
      <c r="Y424" s="18">
        <f t="shared" si="347"/>
        <v>0</v>
      </c>
      <c r="Z424" s="19">
        <v>0</v>
      </c>
      <c r="AA424" s="19">
        <v>0</v>
      </c>
      <c r="AB424" s="19">
        <v>0</v>
      </c>
      <c r="AC424" s="19">
        <v>0</v>
      </c>
      <c r="AD424" s="18">
        <f t="shared" si="348"/>
        <v>0</v>
      </c>
      <c r="AE424" s="19">
        <v>0</v>
      </c>
      <c r="AF424" s="19">
        <v>0</v>
      </c>
      <c r="AG424" s="19">
        <v>0</v>
      </c>
      <c r="AH424" s="19">
        <v>0</v>
      </c>
      <c r="AI424" s="18">
        <f t="shared" si="349"/>
        <v>0</v>
      </c>
      <c r="AJ424" s="19">
        <v>0</v>
      </c>
      <c r="AK424" s="19">
        <v>0</v>
      </c>
      <c r="AL424" s="19">
        <v>0</v>
      </c>
      <c r="AM424" s="19">
        <v>0</v>
      </c>
    </row>
    <row r="425" spans="1:39" s="2" customFormat="1" ht="94.5" outlineLevel="3" x14ac:dyDescent="0.25">
      <c r="A425" s="8" t="s">
        <v>531</v>
      </c>
      <c r="B425" s="34" t="s">
        <v>572</v>
      </c>
      <c r="C425" s="26" t="s">
        <v>32</v>
      </c>
      <c r="D425" s="26" t="s">
        <v>8</v>
      </c>
      <c r="E425" s="20">
        <f t="shared" si="341"/>
        <v>50</v>
      </c>
      <c r="F425" s="38">
        <f>K425+P425+U425</f>
        <v>0</v>
      </c>
      <c r="G425" s="38">
        <f t="shared" si="342"/>
        <v>0</v>
      </c>
      <c r="H425" s="38">
        <f t="shared" si="343"/>
        <v>50</v>
      </c>
      <c r="I425" s="38">
        <f t="shared" si="351"/>
        <v>0</v>
      </c>
      <c r="J425" s="18">
        <f t="shared" si="344"/>
        <v>0</v>
      </c>
      <c r="K425" s="19">
        <v>0</v>
      </c>
      <c r="L425" s="19">
        <v>0</v>
      </c>
      <c r="M425" s="19">
        <v>0</v>
      </c>
      <c r="N425" s="19">
        <v>0</v>
      </c>
      <c r="O425" s="18">
        <f t="shared" si="345"/>
        <v>50</v>
      </c>
      <c r="P425" s="19">
        <v>0</v>
      </c>
      <c r="Q425" s="19">
        <v>0</v>
      </c>
      <c r="R425" s="19">
        <v>50</v>
      </c>
      <c r="S425" s="19">
        <v>0</v>
      </c>
      <c r="T425" s="18">
        <f t="shared" si="346"/>
        <v>0</v>
      </c>
      <c r="U425" s="19">
        <v>0</v>
      </c>
      <c r="V425" s="19">
        <v>0</v>
      </c>
      <c r="W425" s="19">
        <v>0</v>
      </c>
      <c r="X425" s="19">
        <v>0</v>
      </c>
      <c r="Y425" s="18">
        <f t="shared" si="347"/>
        <v>0</v>
      </c>
      <c r="Z425" s="19">
        <v>0</v>
      </c>
      <c r="AA425" s="19">
        <v>0</v>
      </c>
      <c r="AB425" s="19">
        <v>0</v>
      </c>
      <c r="AC425" s="19">
        <v>0</v>
      </c>
      <c r="AD425" s="18">
        <f t="shared" si="348"/>
        <v>0</v>
      </c>
      <c r="AE425" s="19">
        <v>0</v>
      </c>
      <c r="AF425" s="19">
        <v>0</v>
      </c>
      <c r="AG425" s="19">
        <v>0</v>
      </c>
      <c r="AH425" s="19">
        <v>0</v>
      </c>
      <c r="AI425" s="18">
        <f t="shared" si="349"/>
        <v>0</v>
      </c>
      <c r="AJ425" s="19">
        <v>0</v>
      </c>
      <c r="AK425" s="19">
        <v>0</v>
      </c>
      <c r="AL425" s="19">
        <v>0</v>
      </c>
      <c r="AM425" s="19">
        <v>0</v>
      </c>
    </row>
    <row r="426" spans="1:39" s="2" customFormat="1" ht="78.75" outlineLevel="3" x14ac:dyDescent="0.25">
      <c r="A426" s="8" t="s">
        <v>565</v>
      </c>
      <c r="B426" s="34" t="s">
        <v>574</v>
      </c>
      <c r="C426" s="26" t="s">
        <v>32</v>
      </c>
      <c r="D426" s="26" t="s">
        <v>118</v>
      </c>
      <c r="E426" s="20">
        <f t="shared" si="341"/>
        <v>1200</v>
      </c>
      <c r="F426" s="38">
        <f>K426+P426+U426</f>
        <v>0</v>
      </c>
      <c r="G426" s="38">
        <f t="shared" si="342"/>
        <v>0</v>
      </c>
      <c r="H426" s="38">
        <f t="shared" si="343"/>
        <v>1200</v>
      </c>
      <c r="I426" s="38">
        <f t="shared" si="351"/>
        <v>0</v>
      </c>
      <c r="J426" s="18">
        <f t="shared" si="344"/>
        <v>0</v>
      </c>
      <c r="K426" s="19">
        <v>0</v>
      </c>
      <c r="L426" s="19">
        <v>0</v>
      </c>
      <c r="M426" s="19">
        <v>0</v>
      </c>
      <c r="N426" s="19">
        <v>0</v>
      </c>
      <c r="O426" s="18">
        <f t="shared" si="345"/>
        <v>1200</v>
      </c>
      <c r="P426" s="19">
        <v>0</v>
      </c>
      <c r="Q426" s="19">
        <v>0</v>
      </c>
      <c r="R426" s="19">
        <v>1200</v>
      </c>
      <c r="S426" s="19">
        <v>0</v>
      </c>
      <c r="T426" s="18">
        <f t="shared" si="346"/>
        <v>0</v>
      </c>
      <c r="U426" s="19">
        <v>0</v>
      </c>
      <c r="V426" s="19">
        <v>0</v>
      </c>
      <c r="W426" s="19">
        <v>0</v>
      </c>
      <c r="X426" s="19">
        <v>0</v>
      </c>
      <c r="Y426" s="18">
        <f t="shared" si="347"/>
        <v>0</v>
      </c>
      <c r="Z426" s="19">
        <v>0</v>
      </c>
      <c r="AA426" s="19">
        <v>0</v>
      </c>
      <c r="AB426" s="19">
        <v>0</v>
      </c>
      <c r="AC426" s="19">
        <v>0</v>
      </c>
      <c r="AD426" s="18">
        <f t="shared" si="348"/>
        <v>0</v>
      </c>
      <c r="AE426" s="19">
        <v>0</v>
      </c>
      <c r="AF426" s="19">
        <v>0</v>
      </c>
      <c r="AG426" s="19">
        <v>0</v>
      </c>
      <c r="AH426" s="19">
        <v>0</v>
      </c>
      <c r="AI426" s="18">
        <f t="shared" si="349"/>
        <v>0</v>
      </c>
      <c r="AJ426" s="19">
        <v>0</v>
      </c>
      <c r="AK426" s="19">
        <v>0</v>
      </c>
      <c r="AL426" s="19">
        <v>0</v>
      </c>
      <c r="AM426" s="19">
        <v>0</v>
      </c>
    </row>
    <row r="427" spans="1:39" s="2" customFormat="1" ht="63" outlineLevel="3" x14ac:dyDescent="0.25">
      <c r="A427" s="8" t="s">
        <v>570</v>
      </c>
      <c r="B427" s="34" t="s">
        <v>515</v>
      </c>
      <c r="C427" s="26" t="s">
        <v>32</v>
      </c>
      <c r="D427" s="26" t="s">
        <v>118</v>
      </c>
      <c r="E427" s="20">
        <f t="shared" si="341"/>
        <v>1484.9</v>
      </c>
      <c r="F427" s="38">
        <f t="shared" si="350"/>
        <v>0</v>
      </c>
      <c r="G427" s="38">
        <f t="shared" si="342"/>
        <v>0</v>
      </c>
      <c r="H427" s="38">
        <f t="shared" si="343"/>
        <v>1484.9</v>
      </c>
      <c r="I427" s="38">
        <f t="shared" si="351"/>
        <v>0</v>
      </c>
      <c r="J427" s="18">
        <f t="shared" si="344"/>
        <v>0</v>
      </c>
      <c r="K427" s="19">
        <v>0</v>
      </c>
      <c r="L427" s="19">
        <v>0</v>
      </c>
      <c r="M427" s="19">
        <v>0</v>
      </c>
      <c r="N427" s="19">
        <v>0</v>
      </c>
      <c r="O427" s="18">
        <f t="shared" si="345"/>
        <v>1484.9</v>
      </c>
      <c r="P427" s="19">
        <v>0</v>
      </c>
      <c r="Q427" s="19">
        <v>0</v>
      </c>
      <c r="R427" s="19">
        <f>1538.7-53.8</f>
        <v>1484.9</v>
      </c>
      <c r="S427" s="19">
        <v>0</v>
      </c>
      <c r="T427" s="18">
        <f t="shared" si="346"/>
        <v>0</v>
      </c>
      <c r="U427" s="19">
        <v>0</v>
      </c>
      <c r="V427" s="19">
        <v>0</v>
      </c>
      <c r="W427" s="19">
        <v>0</v>
      </c>
      <c r="X427" s="19">
        <v>0</v>
      </c>
      <c r="Y427" s="18">
        <f t="shared" si="347"/>
        <v>0</v>
      </c>
      <c r="Z427" s="19">
        <v>0</v>
      </c>
      <c r="AA427" s="19">
        <v>0</v>
      </c>
      <c r="AB427" s="19">
        <v>0</v>
      </c>
      <c r="AC427" s="19">
        <v>0</v>
      </c>
      <c r="AD427" s="18">
        <f t="shared" si="348"/>
        <v>0</v>
      </c>
      <c r="AE427" s="19">
        <v>0</v>
      </c>
      <c r="AF427" s="19">
        <v>0</v>
      </c>
      <c r="AG427" s="19">
        <v>0</v>
      </c>
      <c r="AH427" s="19">
        <v>0</v>
      </c>
      <c r="AI427" s="18">
        <f t="shared" si="349"/>
        <v>0</v>
      </c>
      <c r="AJ427" s="19">
        <v>0</v>
      </c>
      <c r="AK427" s="19">
        <v>0</v>
      </c>
      <c r="AL427" s="19">
        <v>0</v>
      </c>
      <c r="AM427" s="19">
        <v>0</v>
      </c>
    </row>
    <row r="428" spans="1:39" s="2" customFormat="1" ht="47.25" outlineLevel="3" x14ac:dyDescent="0.25">
      <c r="A428" s="8" t="s">
        <v>715</v>
      </c>
      <c r="B428" s="34" t="s">
        <v>895</v>
      </c>
      <c r="C428" s="26" t="s">
        <v>32</v>
      </c>
      <c r="D428" s="26" t="s">
        <v>118</v>
      </c>
      <c r="E428" s="20">
        <f t="shared" si="341"/>
        <v>199.69999999999993</v>
      </c>
      <c r="F428" s="38">
        <f t="shared" ref="F428:F436" si="352">K428+P428+U428</f>
        <v>0</v>
      </c>
      <c r="G428" s="38">
        <f t="shared" si="342"/>
        <v>0</v>
      </c>
      <c r="H428" s="38">
        <f t="shared" si="343"/>
        <v>199.69999999999993</v>
      </c>
      <c r="I428" s="38">
        <f t="shared" si="339"/>
        <v>0</v>
      </c>
      <c r="J428" s="18">
        <f t="shared" si="344"/>
        <v>0</v>
      </c>
      <c r="K428" s="19">
        <v>0</v>
      </c>
      <c r="L428" s="19">
        <v>0</v>
      </c>
      <c r="M428" s="19">
        <v>0</v>
      </c>
      <c r="N428" s="19">
        <v>0</v>
      </c>
      <c r="O428" s="18">
        <f t="shared" si="345"/>
        <v>199.69999999999993</v>
      </c>
      <c r="P428" s="19">
        <v>0</v>
      </c>
      <c r="Q428" s="19">
        <v>0</v>
      </c>
      <c r="R428" s="19">
        <f>1138.6-938.9</f>
        <v>199.69999999999993</v>
      </c>
      <c r="S428" s="19">
        <v>0</v>
      </c>
      <c r="T428" s="18">
        <f t="shared" si="346"/>
        <v>0</v>
      </c>
      <c r="U428" s="19">
        <v>0</v>
      </c>
      <c r="V428" s="19">
        <v>0</v>
      </c>
      <c r="W428" s="19">
        <v>0</v>
      </c>
      <c r="X428" s="19">
        <v>0</v>
      </c>
      <c r="Y428" s="18">
        <f t="shared" si="347"/>
        <v>0</v>
      </c>
      <c r="Z428" s="19">
        <v>0</v>
      </c>
      <c r="AA428" s="19">
        <v>0</v>
      </c>
      <c r="AB428" s="19">
        <v>0</v>
      </c>
      <c r="AC428" s="19">
        <v>0</v>
      </c>
      <c r="AD428" s="18">
        <f t="shared" si="348"/>
        <v>0</v>
      </c>
      <c r="AE428" s="19">
        <v>0</v>
      </c>
      <c r="AF428" s="19">
        <v>0</v>
      </c>
      <c r="AG428" s="19">
        <v>0</v>
      </c>
      <c r="AH428" s="19">
        <v>0</v>
      </c>
      <c r="AI428" s="18">
        <f t="shared" si="349"/>
        <v>0</v>
      </c>
      <c r="AJ428" s="19">
        <v>0</v>
      </c>
      <c r="AK428" s="19">
        <v>0</v>
      </c>
      <c r="AL428" s="19">
        <v>0</v>
      </c>
      <c r="AM428" s="19">
        <v>0</v>
      </c>
    </row>
    <row r="429" spans="1:39" s="2" customFormat="1" ht="94.5" outlineLevel="2" x14ac:dyDescent="0.25">
      <c r="A429" s="8" t="s">
        <v>716</v>
      </c>
      <c r="B429" s="54" t="s">
        <v>545</v>
      </c>
      <c r="C429" s="26" t="s">
        <v>32</v>
      </c>
      <c r="D429" s="26" t="s">
        <v>118</v>
      </c>
      <c r="E429" s="20">
        <f t="shared" si="341"/>
        <v>2026.1</v>
      </c>
      <c r="F429" s="38">
        <f t="shared" si="352"/>
        <v>0</v>
      </c>
      <c r="G429" s="38">
        <f t="shared" si="342"/>
        <v>0</v>
      </c>
      <c r="H429" s="38">
        <f t="shared" si="343"/>
        <v>2026.1</v>
      </c>
      <c r="I429" s="38">
        <f t="shared" si="339"/>
        <v>0</v>
      </c>
      <c r="J429" s="18">
        <f t="shared" si="344"/>
        <v>0</v>
      </c>
      <c r="K429" s="19">
        <v>0</v>
      </c>
      <c r="L429" s="19">
        <v>0</v>
      </c>
      <c r="M429" s="19">
        <v>0</v>
      </c>
      <c r="N429" s="19">
        <v>0</v>
      </c>
      <c r="O429" s="18">
        <f t="shared" si="345"/>
        <v>2026.1</v>
      </c>
      <c r="P429" s="19">
        <v>0</v>
      </c>
      <c r="Q429" s="19">
        <v>0</v>
      </c>
      <c r="R429" s="19">
        <v>2026.1</v>
      </c>
      <c r="S429" s="19">
        <v>0</v>
      </c>
      <c r="T429" s="18">
        <f t="shared" si="346"/>
        <v>0</v>
      </c>
      <c r="U429" s="19">
        <v>0</v>
      </c>
      <c r="V429" s="19">
        <v>0</v>
      </c>
      <c r="W429" s="19">
        <v>0</v>
      </c>
      <c r="X429" s="19">
        <v>0</v>
      </c>
      <c r="Y429" s="18">
        <f t="shared" si="347"/>
        <v>0</v>
      </c>
      <c r="Z429" s="19">
        <v>0</v>
      </c>
      <c r="AA429" s="19">
        <v>0</v>
      </c>
      <c r="AB429" s="19">
        <v>0</v>
      </c>
      <c r="AC429" s="19">
        <v>0</v>
      </c>
      <c r="AD429" s="18">
        <f t="shared" si="348"/>
        <v>0</v>
      </c>
      <c r="AE429" s="19">
        <v>0</v>
      </c>
      <c r="AF429" s="19">
        <v>0</v>
      </c>
      <c r="AG429" s="19">
        <v>0</v>
      </c>
      <c r="AH429" s="19">
        <v>0</v>
      </c>
      <c r="AI429" s="18">
        <f t="shared" si="349"/>
        <v>0</v>
      </c>
      <c r="AJ429" s="19">
        <v>0</v>
      </c>
      <c r="AK429" s="19">
        <v>0</v>
      </c>
      <c r="AL429" s="19">
        <v>0</v>
      </c>
      <c r="AM429" s="19">
        <v>0</v>
      </c>
    </row>
    <row r="430" spans="1:39" s="2" customFormat="1" ht="31.5" outlineLevel="2" x14ac:dyDescent="0.25">
      <c r="A430" s="8" t="s">
        <v>726</v>
      </c>
      <c r="B430" s="54" t="s">
        <v>720</v>
      </c>
      <c r="C430" s="26" t="s">
        <v>32</v>
      </c>
      <c r="D430" s="26" t="s">
        <v>118</v>
      </c>
      <c r="E430" s="20">
        <f t="shared" si="341"/>
        <v>914.7</v>
      </c>
      <c r="F430" s="38">
        <f t="shared" si="352"/>
        <v>0</v>
      </c>
      <c r="G430" s="38">
        <f t="shared" si="342"/>
        <v>0</v>
      </c>
      <c r="H430" s="38">
        <f t="shared" si="343"/>
        <v>914.7</v>
      </c>
      <c r="I430" s="38">
        <f t="shared" si="339"/>
        <v>0</v>
      </c>
      <c r="J430" s="18">
        <f t="shared" si="344"/>
        <v>0</v>
      </c>
      <c r="K430" s="19">
        <v>0</v>
      </c>
      <c r="L430" s="19">
        <v>0</v>
      </c>
      <c r="M430" s="19">
        <v>0</v>
      </c>
      <c r="N430" s="19">
        <v>0</v>
      </c>
      <c r="O430" s="18">
        <f t="shared" si="345"/>
        <v>914.7</v>
      </c>
      <c r="P430" s="19">
        <v>0</v>
      </c>
      <c r="Q430" s="19">
        <v>0</v>
      </c>
      <c r="R430" s="19">
        <v>914.7</v>
      </c>
      <c r="S430" s="19">
        <v>0</v>
      </c>
      <c r="T430" s="18">
        <f t="shared" si="346"/>
        <v>0</v>
      </c>
      <c r="U430" s="19">
        <v>0</v>
      </c>
      <c r="V430" s="19">
        <v>0</v>
      </c>
      <c r="W430" s="19">
        <v>0</v>
      </c>
      <c r="X430" s="19">
        <v>0</v>
      </c>
      <c r="Y430" s="18">
        <f t="shared" si="347"/>
        <v>0</v>
      </c>
      <c r="Z430" s="19">
        <v>0</v>
      </c>
      <c r="AA430" s="19">
        <v>0</v>
      </c>
      <c r="AB430" s="19">
        <v>0</v>
      </c>
      <c r="AC430" s="19">
        <v>0</v>
      </c>
      <c r="AD430" s="18">
        <f t="shared" si="348"/>
        <v>0</v>
      </c>
      <c r="AE430" s="19">
        <v>0</v>
      </c>
      <c r="AF430" s="19">
        <v>0</v>
      </c>
      <c r="AG430" s="19">
        <v>0</v>
      </c>
      <c r="AH430" s="19">
        <v>0</v>
      </c>
      <c r="AI430" s="18">
        <f t="shared" si="349"/>
        <v>0</v>
      </c>
      <c r="AJ430" s="19">
        <v>0</v>
      </c>
      <c r="AK430" s="19">
        <v>0</v>
      </c>
      <c r="AL430" s="19">
        <v>0</v>
      </c>
      <c r="AM430" s="19">
        <v>0</v>
      </c>
    </row>
    <row r="431" spans="1:39" s="2" customFormat="1" ht="78.75" outlineLevel="2" x14ac:dyDescent="0.25">
      <c r="A431" s="8" t="s">
        <v>728</v>
      </c>
      <c r="B431" s="54" t="s">
        <v>727</v>
      </c>
      <c r="C431" s="26" t="s">
        <v>32</v>
      </c>
      <c r="D431" s="26" t="s">
        <v>118</v>
      </c>
      <c r="E431" s="20">
        <f t="shared" si="341"/>
        <v>24</v>
      </c>
      <c r="F431" s="38">
        <f t="shared" si="352"/>
        <v>0</v>
      </c>
      <c r="G431" s="38">
        <f t="shared" si="342"/>
        <v>0</v>
      </c>
      <c r="H431" s="38">
        <f t="shared" si="343"/>
        <v>24</v>
      </c>
      <c r="I431" s="38">
        <f t="shared" ref="I431:I436" si="353">N431+S431+X431+AC431+AH431+AM431</f>
        <v>0</v>
      </c>
      <c r="J431" s="18">
        <f t="shared" si="344"/>
        <v>0</v>
      </c>
      <c r="K431" s="19">
        <v>0</v>
      </c>
      <c r="L431" s="19">
        <v>0</v>
      </c>
      <c r="M431" s="19">
        <v>0</v>
      </c>
      <c r="N431" s="19">
        <v>0</v>
      </c>
      <c r="O431" s="18">
        <f t="shared" si="345"/>
        <v>24</v>
      </c>
      <c r="P431" s="19">
        <v>0</v>
      </c>
      <c r="Q431" s="19">
        <v>0</v>
      </c>
      <c r="R431" s="19">
        <v>24</v>
      </c>
      <c r="S431" s="19">
        <v>0</v>
      </c>
      <c r="T431" s="18">
        <f t="shared" si="346"/>
        <v>0</v>
      </c>
      <c r="U431" s="19">
        <v>0</v>
      </c>
      <c r="V431" s="19">
        <v>0</v>
      </c>
      <c r="W431" s="19">
        <v>0</v>
      </c>
      <c r="X431" s="19">
        <v>0</v>
      </c>
      <c r="Y431" s="18">
        <f t="shared" si="347"/>
        <v>0</v>
      </c>
      <c r="Z431" s="19">
        <v>0</v>
      </c>
      <c r="AA431" s="19">
        <v>0</v>
      </c>
      <c r="AB431" s="19">
        <v>0</v>
      </c>
      <c r="AC431" s="19">
        <v>0</v>
      </c>
      <c r="AD431" s="18">
        <f t="shared" si="348"/>
        <v>0</v>
      </c>
      <c r="AE431" s="19">
        <v>0</v>
      </c>
      <c r="AF431" s="19">
        <v>0</v>
      </c>
      <c r="AG431" s="19">
        <v>0</v>
      </c>
      <c r="AH431" s="19">
        <v>0</v>
      </c>
      <c r="AI431" s="18">
        <f t="shared" si="349"/>
        <v>0</v>
      </c>
      <c r="AJ431" s="19">
        <v>0</v>
      </c>
      <c r="AK431" s="19">
        <v>0</v>
      </c>
      <c r="AL431" s="19">
        <v>0</v>
      </c>
      <c r="AM431" s="19">
        <v>0</v>
      </c>
    </row>
    <row r="432" spans="1:39" s="2" customFormat="1" ht="63" outlineLevel="2" x14ac:dyDescent="0.25">
      <c r="A432" s="8" t="s">
        <v>750</v>
      </c>
      <c r="B432" s="54" t="s">
        <v>749</v>
      </c>
      <c r="C432" s="26" t="s">
        <v>32</v>
      </c>
      <c r="D432" s="26" t="s">
        <v>118</v>
      </c>
      <c r="E432" s="20">
        <f t="shared" si="341"/>
        <v>85.6</v>
      </c>
      <c r="F432" s="38">
        <f t="shared" si="352"/>
        <v>0</v>
      </c>
      <c r="G432" s="38">
        <f t="shared" si="342"/>
        <v>0</v>
      </c>
      <c r="H432" s="38">
        <f t="shared" si="343"/>
        <v>85.6</v>
      </c>
      <c r="I432" s="38">
        <f t="shared" si="353"/>
        <v>0</v>
      </c>
      <c r="J432" s="18">
        <f t="shared" si="344"/>
        <v>0</v>
      </c>
      <c r="K432" s="19">
        <v>0</v>
      </c>
      <c r="L432" s="19">
        <v>0</v>
      </c>
      <c r="M432" s="19">
        <v>0</v>
      </c>
      <c r="N432" s="19">
        <v>0</v>
      </c>
      <c r="O432" s="18">
        <f t="shared" si="345"/>
        <v>85.6</v>
      </c>
      <c r="P432" s="19"/>
      <c r="Q432" s="19">
        <v>0</v>
      </c>
      <c r="R432" s="19">
        <v>85.6</v>
      </c>
      <c r="S432" s="19">
        <v>0</v>
      </c>
      <c r="T432" s="18">
        <f t="shared" si="346"/>
        <v>0</v>
      </c>
      <c r="U432" s="19">
        <v>0</v>
      </c>
      <c r="V432" s="19">
        <v>0</v>
      </c>
      <c r="W432" s="19">
        <v>0</v>
      </c>
      <c r="X432" s="19">
        <v>0</v>
      </c>
      <c r="Y432" s="18">
        <f t="shared" si="347"/>
        <v>0</v>
      </c>
      <c r="Z432" s="19">
        <v>0</v>
      </c>
      <c r="AA432" s="19">
        <v>0</v>
      </c>
      <c r="AB432" s="19">
        <v>0</v>
      </c>
      <c r="AC432" s="19">
        <v>0</v>
      </c>
      <c r="AD432" s="18">
        <f t="shared" si="348"/>
        <v>0</v>
      </c>
      <c r="AE432" s="19">
        <v>0</v>
      </c>
      <c r="AF432" s="19">
        <v>0</v>
      </c>
      <c r="AG432" s="19">
        <v>0</v>
      </c>
      <c r="AH432" s="19">
        <v>0</v>
      </c>
      <c r="AI432" s="18">
        <f t="shared" si="349"/>
        <v>0</v>
      </c>
      <c r="AJ432" s="19">
        <v>0</v>
      </c>
      <c r="AK432" s="19">
        <v>0</v>
      </c>
      <c r="AL432" s="19">
        <v>0</v>
      </c>
      <c r="AM432" s="19">
        <v>0</v>
      </c>
    </row>
    <row r="433" spans="1:39" s="2" customFormat="1" ht="47.25" outlineLevel="2" x14ac:dyDescent="0.25">
      <c r="A433" s="8" t="s">
        <v>797</v>
      </c>
      <c r="B433" s="54" t="s">
        <v>798</v>
      </c>
      <c r="C433" s="26" t="s">
        <v>32</v>
      </c>
      <c r="D433" s="26" t="s">
        <v>118</v>
      </c>
      <c r="E433" s="20">
        <f t="shared" si="341"/>
        <v>399.79999999999995</v>
      </c>
      <c r="F433" s="38">
        <f t="shared" si="352"/>
        <v>0</v>
      </c>
      <c r="G433" s="38">
        <f t="shared" si="342"/>
        <v>0</v>
      </c>
      <c r="H433" s="38">
        <f t="shared" si="343"/>
        <v>399.79999999999995</v>
      </c>
      <c r="I433" s="38">
        <f t="shared" si="353"/>
        <v>0</v>
      </c>
      <c r="J433" s="18">
        <f t="shared" si="344"/>
        <v>0</v>
      </c>
      <c r="K433" s="19">
        <v>0</v>
      </c>
      <c r="L433" s="19">
        <v>0</v>
      </c>
      <c r="M433" s="19">
        <v>0</v>
      </c>
      <c r="N433" s="19">
        <v>0</v>
      </c>
      <c r="O433" s="18">
        <f t="shared" si="345"/>
        <v>0</v>
      </c>
      <c r="P433" s="19"/>
      <c r="Q433" s="19">
        <v>0</v>
      </c>
      <c r="R433" s="19">
        <v>0</v>
      </c>
      <c r="S433" s="19">
        <v>0</v>
      </c>
      <c r="T433" s="18">
        <f t="shared" si="346"/>
        <v>399.79999999999995</v>
      </c>
      <c r="U433" s="19">
        <v>0</v>
      </c>
      <c r="V433" s="19">
        <v>0</v>
      </c>
      <c r="W433" s="19">
        <f>571.3-171.5</f>
        <v>399.79999999999995</v>
      </c>
      <c r="X433" s="19">
        <v>0</v>
      </c>
      <c r="Y433" s="18">
        <f t="shared" si="347"/>
        <v>0</v>
      </c>
      <c r="Z433" s="19">
        <v>0</v>
      </c>
      <c r="AA433" s="19">
        <v>0</v>
      </c>
      <c r="AB433" s="19">
        <v>0</v>
      </c>
      <c r="AC433" s="19">
        <v>0</v>
      </c>
      <c r="AD433" s="18">
        <f t="shared" si="348"/>
        <v>0</v>
      </c>
      <c r="AE433" s="19">
        <v>0</v>
      </c>
      <c r="AF433" s="19">
        <v>0</v>
      </c>
      <c r="AG433" s="19">
        <v>0</v>
      </c>
      <c r="AH433" s="19">
        <v>0</v>
      </c>
      <c r="AI433" s="18">
        <f t="shared" si="349"/>
        <v>0</v>
      </c>
      <c r="AJ433" s="19">
        <v>0</v>
      </c>
      <c r="AK433" s="19">
        <v>0</v>
      </c>
      <c r="AL433" s="19">
        <v>0</v>
      </c>
      <c r="AM433" s="19">
        <v>0</v>
      </c>
    </row>
    <row r="434" spans="1:39" s="2" customFormat="1" ht="94.5" outlineLevel="2" x14ac:dyDescent="0.25">
      <c r="A434" s="8" t="s">
        <v>850</v>
      </c>
      <c r="B434" s="54" t="s">
        <v>851</v>
      </c>
      <c r="C434" s="26" t="s">
        <v>32</v>
      </c>
      <c r="D434" s="26" t="s">
        <v>118</v>
      </c>
      <c r="E434" s="20">
        <f t="shared" si="341"/>
        <v>179.3</v>
      </c>
      <c r="F434" s="38">
        <f t="shared" si="352"/>
        <v>0</v>
      </c>
      <c r="G434" s="38">
        <f t="shared" si="342"/>
        <v>0</v>
      </c>
      <c r="H434" s="38">
        <f t="shared" si="343"/>
        <v>179.3</v>
      </c>
      <c r="I434" s="38">
        <f t="shared" si="353"/>
        <v>0</v>
      </c>
      <c r="J434" s="18">
        <f t="shared" si="344"/>
        <v>0</v>
      </c>
      <c r="K434" s="19">
        <v>0</v>
      </c>
      <c r="L434" s="19">
        <v>0</v>
      </c>
      <c r="M434" s="19">
        <v>0</v>
      </c>
      <c r="N434" s="19">
        <v>0</v>
      </c>
      <c r="O434" s="18">
        <f t="shared" si="345"/>
        <v>0</v>
      </c>
      <c r="P434" s="19"/>
      <c r="Q434" s="19">
        <v>0</v>
      </c>
      <c r="R434" s="19">
        <v>0</v>
      </c>
      <c r="S434" s="19">
        <v>0</v>
      </c>
      <c r="T434" s="18">
        <f t="shared" si="346"/>
        <v>179.3</v>
      </c>
      <c r="U434" s="19"/>
      <c r="V434" s="19"/>
      <c r="W434" s="19">
        <v>179.3</v>
      </c>
      <c r="X434" s="19"/>
      <c r="Y434" s="18"/>
      <c r="Z434" s="19"/>
      <c r="AA434" s="19"/>
      <c r="AB434" s="19"/>
      <c r="AC434" s="19"/>
      <c r="AD434" s="18"/>
      <c r="AE434" s="19"/>
      <c r="AF434" s="19"/>
      <c r="AG434" s="19"/>
      <c r="AH434" s="19"/>
      <c r="AI434" s="18"/>
      <c r="AJ434" s="19"/>
      <c r="AK434" s="19"/>
      <c r="AL434" s="19"/>
      <c r="AM434" s="19"/>
    </row>
    <row r="435" spans="1:39" s="2" customFormat="1" ht="78.75" outlineLevel="2" x14ac:dyDescent="0.25">
      <c r="A435" s="8" t="s">
        <v>853</v>
      </c>
      <c r="B435" s="54" t="s">
        <v>857</v>
      </c>
      <c r="C435" s="26" t="s">
        <v>32</v>
      </c>
      <c r="D435" s="26" t="s">
        <v>118</v>
      </c>
      <c r="E435" s="20">
        <f t="shared" si="341"/>
        <v>789.4</v>
      </c>
      <c r="F435" s="38">
        <f t="shared" si="352"/>
        <v>0</v>
      </c>
      <c r="G435" s="38">
        <f t="shared" si="342"/>
        <v>0</v>
      </c>
      <c r="H435" s="38">
        <f t="shared" si="343"/>
        <v>789.4</v>
      </c>
      <c r="I435" s="38">
        <f t="shared" si="353"/>
        <v>0</v>
      </c>
      <c r="J435" s="18"/>
      <c r="K435" s="19"/>
      <c r="L435" s="19"/>
      <c r="M435" s="19"/>
      <c r="N435" s="19"/>
      <c r="O435" s="18"/>
      <c r="P435" s="19"/>
      <c r="Q435" s="19"/>
      <c r="R435" s="19"/>
      <c r="S435" s="19"/>
      <c r="T435" s="18">
        <f t="shared" si="346"/>
        <v>789.4</v>
      </c>
      <c r="U435" s="19"/>
      <c r="V435" s="19"/>
      <c r="W435" s="19">
        <v>789.4</v>
      </c>
      <c r="X435" s="19"/>
      <c r="Y435" s="18"/>
      <c r="Z435" s="19"/>
      <c r="AA435" s="19"/>
      <c r="AB435" s="19"/>
      <c r="AC435" s="19"/>
      <c r="AD435" s="18"/>
      <c r="AE435" s="19"/>
      <c r="AF435" s="19"/>
      <c r="AG435" s="19"/>
      <c r="AH435" s="19"/>
      <c r="AI435" s="18"/>
      <c r="AJ435" s="19"/>
      <c r="AK435" s="19"/>
      <c r="AL435" s="19"/>
      <c r="AM435" s="19"/>
    </row>
    <row r="436" spans="1:39" s="2" customFormat="1" ht="63" outlineLevel="2" x14ac:dyDescent="0.25">
      <c r="A436" s="8" t="s">
        <v>856</v>
      </c>
      <c r="B436" s="54" t="s">
        <v>854</v>
      </c>
      <c r="C436" s="26" t="s">
        <v>32</v>
      </c>
      <c r="D436" s="26" t="s">
        <v>118</v>
      </c>
      <c r="E436" s="20">
        <f t="shared" si="341"/>
        <v>676.9</v>
      </c>
      <c r="F436" s="38">
        <f t="shared" si="352"/>
        <v>0</v>
      </c>
      <c r="G436" s="38">
        <f t="shared" si="342"/>
        <v>0</v>
      </c>
      <c r="H436" s="38">
        <f t="shared" si="343"/>
        <v>676.9</v>
      </c>
      <c r="I436" s="38">
        <f t="shared" si="353"/>
        <v>0</v>
      </c>
      <c r="J436" s="18">
        <f>SUM(K436:N436)</f>
        <v>0</v>
      </c>
      <c r="K436" s="19">
        <v>0</v>
      </c>
      <c r="L436" s="19">
        <v>0</v>
      </c>
      <c r="M436" s="19">
        <v>0</v>
      </c>
      <c r="N436" s="19">
        <v>0</v>
      </c>
      <c r="O436" s="18">
        <f>Q436+R436+S436</f>
        <v>0</v>
      </c>
      <c r="P436" s="19"/>
      <c r="Q436" s="19">
        <v>0</v>
      </c>
      <c r="R436" s="19">
        <v>0</v>
      </c>
      <c r="S436" s="19">
        <v>0</v>
      </c>
      <c r="T436" s="18">
        <f t="shared" si="346"/>
        <v>676.9</v>
      </c>
      <c r="U436" s="19"/>
      <c r="V436" s="19"/>
      <c r="W436" s="19">
        <v>676.9</v>
      </c>
      <c r="X436" s="19"/>
      <c r="Y436" s="18"/>
      <c r="Z436" s="19"/>
      <c r="AA436" s="19"/>
      <c r="AB436" s="19"/>
      <c r="AC436" s="19"/>
      <c r="AD436" s="18"/>
      <c r="AE436" s="19"/>
      <c r="AF436" s="19"/>
      <c r="AG436" s="19"/>
      <c r="AH436" s="19"/>
      <c r="AI436" s="18"/>
      <c r="AJ436" s="19"/>
      <c r="AK436" s="19"/>
      <c r="AL436" s="19"/>
      <c r="AM436" s="19"/>
    </row>
    <row r="437" spans="1:39" s="2" customFormat="1" ht="66" outlineLevel="2" x14ac:dyDescent="0.25">
      <c r="A437" s="8" t="s">
        <v>999</v>
      </c>
      <c r="B437" s="140" t="s">
        <v>1000</v>
      </c>
      <c r="C437" s="26" t="s">
        <v>32</v>
      </c>
      <c r="D437" s="26" t="s">
        <v>118</v>
      </c>
      <c r="E437" s="20">
        <f t="shared" ref="E437" si="354">SUM(F437:I437)</f>
        <v>52.1</v>
      </c>
      <c r="F437" s="38">
        <f t="shared" ref="F437" si="355">K437+P437+U437</f>
        <v>0</v>
      </c>
      <c r="G437" s="38">
        <f t="shared" ref="G437" si="356">L437+Q437+V437+AA437+AF437+AK437</f>
        <v>0</v>
      </c>
      <c r="H437" s="38">
        <f t="shared" ref="H437" si="357">M437+R437+W437+AB437+AG437+AL437</f>
        <v>52.1</v>
      </c>
      <c r="I437" s="38">
        <f t="shared" ref="I437" si="358">N437+S437+X437+AC437+AH437+AM437</f>
        <v>0</v>
      </c>
      <c r="J437" s="18">
        <f>SUM(K437:N437)</f>
        <v>0</v>
      </c>
      <c r="K437" s="19">
        <v>0</v>
      </c>
      <c r="L437" s="19">
        <v>0</v>
      </c>
      <c r="M437" s="19">
        <v>0</v>
      </c>
      <c r="N437" s="19">
        <v>0</v>
      </c>
      <c r="O437" s="18">
        <f>Q437+R437+S437</f>
        <v>0</v>
      </c>
      <c r="P437" s="19"/>
      <c r="Q437" s="19">
        <v>0</v>
      </c>
      <c r="R437" s="19">
        <v>0</v>
      </c>
      <c r="S437" s="19">
        <v>0</v>
      </c>
      <c r="T437" s="18">
        <f t="shared" ref="T437" si="359">SUM(U437:X437)</f>
        <v>52.1</v>
      </c>
      <c r="U437" s="19"/>
      <c r="V437" s="19"/>
      <c r="W437" s="19">
        <v>52.1</v>
      </c>
      <c r="X437" s="19"/>
      <c r="Y437" s="18"/>
      <c r="Z437" s="19"/>
      <c r="AA437" s="19"/>
      <c r="AB437" s="19"/>
      <c r="AC437" s="19"/>
      <c r="AD437" s="18"/>
      <c r="AE437" s="19"/>
      <c r="AF437" s="19"/>
      <c r="AG437" s="19"/>
      <c r="AH437" s="19"/>
      <c r="AI437" s="18"/>
      <c r="AJ437" s="19"/>
      <c r="AK437" s="19"/>
      <c r="AL437" s="19"/>
      <c r="AM437" s="19"/>
    </row>
    <row r="438" spans="1:39" s="2" customFormat="1" ht="99" outlineLevel="2" x14ac:dyDescent="0.25">
      <c r="A438" s="8" t="s">
        <v>1002</v>
      </c>
      <c r="B438" s="141" t="s">
        <v>1001</v>
      </c>
      <c r="C438" s="26" t="s">
        <v>32</v>
      </c>
      <c r="D438" s="26" t="s">
        <v>118</v>
      </c>
      <c r="E438" s="20">
        <f t="shared" ref="E438" si="360">SUM(F438:I438)</f>
        <v>350</v>
      </c>
      <c r="F438" s="38">
        <f t="shared" ref="F438" si="361">K438+P438+U438</f>
        <v>0</v>
      </c>
      <c r="G438" s="38">
        <f t="shared" ref="G438" si="362">L438+Q438+V438+AA438+AF438+AK438</f>
        <v>0</v>
      </c>
      <c r="H438" s="38">
        <f t="shared" ref="H438" si="363">M438+R438+W438+AB438+AG438+AL438</f>
        <v>350</v>
      </c>
      <c r="I438" s="38">
        <f t="shared" ref="I438" si="364">N438+S438+X438+AC438+AH438+AM438</f>
        <v>0</v>
      </c>
      <c r="J438" s="18">
        <f>SUM(K438:N438)</f>
        <v>0</v>
      </c>
      <c r="K438" s="19">
        <v>0</v>
      </c>
      <c r="L438" s="19">
        <v>0</v>
      </c>
      <c r="M438" s="19">
        <v>0</v>
      </c>
      <c r="N438" s="19">
        <v>0</v>
      </c>
      <c r="O438" s="18">
        <f>Q438+R438+S438</f>
        <v>0</v>
      </c>
      <c r="P438" s="19"/>
      <c r="Q438" s="19">
        <v>0</v>
      </c>
      <c r="R438" s="19">
        <v>0</v>
      </c>
      <c r="S438" s="19">
        <v>0</v>
      </c>
      <c r="T438" s="18">
        <f t="shared" ref="T438" si="365">SUM(U438:X438)</f>
        <v>350</v>
      </c>
      <c r="U438" s="19"/>
      <c r="V438" s="19"/>
      <c r="W438" s="19">
        <v>350</v>
      </c>
      <c r="X438" s="19"/>
      <c r="Y438" s="18"/>
      <c r="Z438" s="19"/>
      <c r="AA438" s="19"/>
      <c r="AB438" s="19"/>
      <c r="AC438" s="19"/>
      <c r="AD438" s="18"/>
      <c r="AE438" s="19"/>
      <c r="AF438" s="19"/>
      <c r="AG438" s="19"/>
      <c r="AH438" s="19"/>
      <c r="AI438" s="18"/>
      <c r="AJ438" s="19"/>
      <c r="AK438" s="19"/>
      <c r="AL438" s="19"/>
      <c r="AM438" s="19"/>
    </row>
    <row r="439" spans="1:39" s="2" customFormat="1" ht="37.5" customHeight="1" outlineLevel="1" x14ac:dyDescent="0.25">
      <c r="A439" s="138" t="s">
        <v>382</v>
      </c>
      <c r="B439" s="183" t="s">
        <v>537</v>
      </c>
      <c r="C439" s="180"/>
      <c r="D439" s="181"/>
      <c r="E439" s="20">
        <f>SUM(E440:E441)</f>
        <v>4253.5</v>
      </c>
      <c r="F439" s="20">
        <f t="shared" ref="F439:AM439" si="366">SUM(F440:F441)</f>
        <v>0</v>
      </c>
      <c r="G439" s="20">
        <f t="shared" si="366"/>
        <v>0</v>
      </c>
      <c r="H439" s="20">
        <f t="shared" si="366"/>
        <v>4253.5</v>
      </c>
      <c r="I439" s="20">
        <f t="shared" si="366"/>
        <v>0</v>
      </c>
      <c r="J439" s="20">
        <f t="shared" si="366"/>
        <v>0</v>
      </c>
      <c r="K439" s="20">
        <f t="shared" si="366"/>
        <v>0</v>
      </c>
      <c r="L439" s="20">
        <f t="shared" si="366"/>
        <v>0</v>
      </c>
      <c r="M439" s="20">
        <f t="shared" si="366"/>
        <v>0</v>
      </c>
      <c r="N439" s="20">
        <f t="shared" si="366"/>
        <v>0</v>
      </c>
      <c r="O439" s="20">
        <f t="shared" si="366"/>
        <v>1408</v>
      </c>
      <c r="P439" s="20">
        <f t="shared" si="366"/>
        <v>0</v>
      </c>
      <c r="Q439" s="20">
        <f t="shared" si="366"/>
        <v>0</v>
      </c>
      <c r="R439" s="20">
        <f t="shared" si="366"/>
        <v>1408</v>
      </c>
      <c r="S439" s="20">
        <f t="shared" si="366"/>
        <v>0</v>
      </c>
      <c r="T439" s="20">
        <f t="shared" si="366"/>
        <v>2845.5</v>
      </c>
      <c r="U439" s="20">
        <f t="shared" si="366"/>
        <v>0</v>
      </c>
      <c r="V439" s="20">
        <f t="shared" si="366"/>
        <v>0</v>
      </c>
      <c r="W439" s="20">
        <f t="shared" si="366"/>
        <v>2845.5</v>
      </c>
      <c r="X439" s="20">
        <f t="shared" si="366"/>
        <v>0</v>
      </c>
      <c r="Y439" s="20">
        <f t="shared" si="366"/>
        <v>0</v>
      </c>
      <c r="Z439" s="20">
        <f t="shared" si="366"/>
        <v>0</v>
      </c>
      <c r="AA439" s="20">
        <f t="shared" si="366"/>
        <v>0</v>
      </c>
      <c r="AB439" s="20">
        <f t="shared" si="366"/>
        <v>0</v>
      </c>
      <c r="AC439" s="20">
        <f t="shared" si="366"/>
        <v>0</v>
      </c>
      <c r="AD439" s="20">
        <f t="shared" si="366"/>
        <v>0</v>
      </c>
      <c r="AE439" s="20">
        <f t="shared" si="366"/>
        <v>0</v>
      </c>
      <c r="AF439" s="20">
        <f t="shared" si="366"/>
        <v>0</v>
      </c>
      <c r="AG439" s="20">
        <f t="shared" si="366"/>
        <v>0</v>
      </c>
      <c r="AH439" s="20">
        <f t="shared" si="366"/>
        <v>0</v>
      </c>
      <c r="AI439" s="20">
        <f t="shared" si="366"/>
        <v>0</v>
      </c>
      <c r="AJ439" s="20">
        <f t="shared" si="366"/>
        <v>0</v>
      </c>
      <c r="AK439" s="20">
        <f t="shared" si="366"/>
        <v>0</v>
      </c>
      <c r="AL439" s="20">
        <f t="shared" si="366"/>
        <v>0</v>
      </c>
      <c r="AM439" s="20">
        <f t="shared" si="366"/>
        <v>0</v>
      </c>
    </row>
    <row r="440" spans="1:39" s="2" customFormat="1" ht="31.5" outlineLevel="3" x14ac:dyDescent="0.25">
      <c r="A440" s="8" t="s">
        <v>383</v>
      </c>
      <c r="B440" s="33" t="s">
        <v>384</v>
      </c>
      <c r="C440" s="26" t="s">
        <v>32</v>
      </c>
      <c r="D440" s="26" t="s">
        <v>8</v>
      </c>
      <c r="E440" s="20">
        <f>SUM(F440:I440)</f>
        <v>2133.6</v>
      </c>
      <c r="F440" s="38">
        <f>K440+P440+U440</f>
        <v>0</v>
      </c>
      <c r="G440" s="38">
        <f t="shared" ref="G440:I441" si="367">L440+Q440+V440+AA440+AF440+AK440</f>
        <v>0</v>
      </c>
      <c r="H440" s="38">
        <f t="shared" si="367"/>
        <v>2133.6</v>
      </c>
      <c r="I440" s="38">
        <f t="shared" si="367"/>
        <v>0</v>
      </c>
      <c r="J440" s="18">
        <f>SUM(K440:N440)</f>
        <v>0</v>
      </c>
      <c r="K440" s="19">
        <v>0</v>
      </c>
      <c r="L440" s="19">
        <v>0</v>
      </c>
      <c r="M440" s="19">
        <v>0</v>
      </c>
      <c r="N440" s="19">
        <v>0</v>
      </c>
      <c r="O440" s="20">
        <f>Q440+R440+S440</f>
        <v>1408</v>
      </c>
      <c r="P440" s="19">
        <v>0</v>
      </c>
      <c r="Q440" s="19">
        <v>0</v>
      </c>
      <c r="R440" s="19">
        <v>1408</v>
      </c>
      <c r="S440" s="19">
        <v>0</v>
      </c>
      <c r="T440" s="18">
        <f>SUM(U440:X440)</f>
        <v>725.6</v>
      </c>
      <c r="U440" s="19">
        <v>0</v>
      </c>
      <c r="V440" s="19">
        <v>0</v>
      </c>
      <c r="W440" s="19">
        <v>725.6</v>
      </c>
      <c r="X440" s="19">
        <v>0</v>
      </c>
      <c r="Y440" s="18">
        <f>SUM(Z440:AC440)</f>
        <v>0</v>
      </c>
      <c r="Z440" s="19">
        <v>0</v>
      </c>
      <c r="AA440" s="19">
        <v>0</v>
      </c>
      <c r="AB440" s="19">
        <v>0</v>
      </c>
      <c r="AC440" s="19">
        <v>0</v>
      </c>
      <c r="AD440" s="18">
        <f>SUM(AE440:AH440)</f>
        <v>0</v>
      </c>
      <c r="AE440" s="19">
        <v>0</v>
      </c>
      <c r="AF440" s="19">
        <v>0</v>
      </c>
      <c r="AG440" s="19">
        <v>0</v>
      </c>
      <c r="AH440" s="19">
        <v>0</v>
      </c>
      <c r="AI440" s="18">
        <f>SUM(AJ440:AM440)</f>
        <v>0</v>
      </c>
      <c r="AJ440" s="19">
        <v>0</v>
      </c>
      <c r="AK440" s="19">
        <v>0</v>
      </c>
      <c r="AL440" s="19">
        <v>0</v>
      </c>
      <c r="AM440" s="19">
        <v>0</v>
      </c>
    </row>
    <row r="441" spans="1:39" s="2" customFormat="1" ht="47.25" outlineLevel="3" x14ac:dyDescent="0.25">
      <c r="A441" s="8" t="s">
        <v>506</v>
      </c>
      <c r="B441" s="33" t="s">
        <v>507</v>
      </c>
      <c r="C441" s="26" t="s">
        <v>32</v>
      </c>
      <c r="D441" s="26" t="s">
        <v>8</v>
      </c>
      <c r="E441" s="20">
        <f>SUM(F441:I441)</f>
        <v>2119.9</v>
      </c>
      <c r="F441" s="38">
        <f>K441+P441+U441</f>
        <v>0</v>
      </c>
      <c r="G441" s="38">
        <f t="shared" si="367"/>
        <v>0</v>
      </c>
      <c r="H441" s="38">
        <f t="shared" si="367"/>
        <v>2119.9</v>
      </c>
      <c r="I441" s="38">
        <f t="shared" si="367"/>
        <v>0</v>
      </c>
      <c r="J441" s="18">
        <f>SUM(K441:N441)</f>
        <v>0</v>
      </c>
      <c r="K441" s="19">
        <v>0</v>
      </c>
      <c r="L441" s="19">
        <v>0</v>
      </c>
      <c r="M441" s="19">
        <v>0</v>
      </c>
      <c r="N441" s="19">
        <v>0</v>
      </c>
      <c r="O441" s="20">
        <f>Q441+R441+S441</f>
        <v>0</v>
      </c>
      <c r="P441" s="19">
        <v>0</v>
      </c>
      <c r="Q441" s="19">
        <v>0</v>
      </c>
      <c r="R441" s="19">
        <f>1424.4+1150.6-2575</f>
        <v>0</v>
      </c>
      <c r="S441" s="19">
        <v>0</v>
      </c>
      <c r="T441" s="18">
        <f>SUM(U441:X441)</f>
        <v>2119.9</v>
      </c>
      <c r="U441" s="19">
        <v>0</v>
      </c>
      <c r="V441" s="19">
        <v>0</v>
      </c>
      <c r="W441" s="19">
        <f>2575-455.1</f>
        <v>2119.9</v>
      </c>
      <c r="X441" s="19">
        <v>0</v>
      </c>
      <c r="Y441" s="18">
        <f>SUM(Z441:AC441)</f>
        <v>0</v>
      </c>
      <c r="Z441" s="19">
        <v>0</v>
      </c>
      <c r="AA441" s="19">
        <v>0</v>
      </c>
      <c r="AB441" s="19">
        <v>0</v>
      </c>
      <c r="AC441" s="19">
        <v>0</v>
      </c>
      <c r="AD441" s="18">
        <f>SUM(AE441:AH441)</f>
        <v>0</v>
      </c>
      <c r="AE441" s="19">
        <v>0</v>
      </c>
      <c r="AF441" s="19">
        <v>0</v>
      </c>
      <c r="AG441" s="19">
        <v>0</v>
      </c>
      <c r="AH441" s="19">
        <v>0</v>
      </c>
      <c r="AI441" s="18">
        <f>SUM(AJ441:AM441)</f>
        <v>0</v>
      </c>
      <c r="AJ441" s="19">
        <v>0</v>
      </c>
      <c r="AK441" s="19">
        <v>0</v>
      </c>
      <c r="AL441" s="19">
        <v>0</v>
      </c>
      <c r="AM441" s="19">
        <v>0</v>
      </c>
    </row>
    <row r="442" spans="1:39" s="2" customFormat="1" ht="42" customHeight="1" outlineLevel="1" x14ac:dyDescent="0.25">
      <c r="A442" s="138" t="s">
        <v>512</v>
      </c>
      <c r="B442" s="183" t="s">
        <v>695</v>
      </c>
      <c r="C442" s="180"/>
      <c r="D442" s="181"/>
      <c r="E442" s="20">
        <f>SUM(E443)</f>
        <v>475.8</v>
      </c>
      <c r="F442" s="20">
        <f t="shared" ref="F442:AM444" si="368">SUM(F443)</f>
        <v>0</v>
      </c>
      <c r="G442" s="20">
        <f t="shared" si="368"/>
        <v>0</v>
      </c>
      <c r="H442" s="20">
        <f t="shared" si="368"/>
        <v>475.8</v>
      </c>
      <c r="I442" s="20">
        <f t="shared" si="368"/>
        <v>0</v>
      </c>
      <c r="J442" s="20">
        <f t="shared" si="368"/>
        <v>0</v>
      </c>
      <c r="K442" s="20">
        <f t="shared" si="368"/>
        <v>0</v>
      </c>
      <c r="L442" s="20">
        <f t="shared" si="368"/>
        <v>0</v>
      </c>
      <c r="M442" s="20">
        <f t="shared" si="368"/>
        <v>0</v>
      </c>
      <c r="N442" s="20">
        <f t="shared" si="368"/>
        <v>0</v>
      </c>
      <c r="O442" s="20">
        <f t="shared" si="368"/>
        <v>475.8</v>
      </c>
      <c r="P442" s="20">
        <f t="shared" si="368"/>
        <v>0</v>
      </c>
      <c r="Q442" s="20">
        <f t="shared" si="368"/>
        <v>0</v>
      </c>
      <c r="R442" s="20">
        <f t="shared" si="368"/>
        <v>475.8</v>
      </c>
      <c r="S442" s="20">
        <f t="shared" si="368"/>
        <v>0</v>
      </c>
      <c r="T442" s="20">
        <f t="shared" si="368"/>
        <v>0</v>
      </c>
      <c r="U442" s="20">
        <f t="shared" si="368"/>
        <v>0</v>
      </c>
      <c r="V442" s="20">
        <f t="shared" si="368"/>
        <v>0</v>
      </c>
      <c r="W442" s="20">
        <f t="shared" si="368"/>
        <v>0</v>
      </c>
      <c r="X442" s="20">
        <f t="shared" si="368"/>
        <v>0</v>
      </c>
      <c r="Y442" s="20">
        <f t="shared" si="368"/>
        <v>0</v>
      </c>
      <c r="Z442" s="20">
        <f t="shared" si="368"/>
        <v>0</v>
      </c>
      <c r="AA442" s="20">
        <f t="shared" si="368"/>
        <v>0</v>
      </c>
      <c r="AB442" s="20">
        <f t="shared" si="368"/>
        <v>0</v>
      </c>
      <c r="AC442" s="20">
        <f t="shared" si="368"/>
        <v>0</v>
      </c>
      <c r="AD442" s="20">
        <f t="shared" si="368"/>
        <v>0</v>
      </c>
      <c r="AE442" s="20">
        <f t="shared" si="368"/>
        <v>0</v>
      </c>
      <c r="AF442" s="20">
        <f t="shared" si="368"/>
        <v>0</v>
      </c>
      <c r="AG442" s="20">
        <f t="shared" si="368"/>
        <v>0</v>
      </c>
      <c r="AH442" s="20">
        <f t="shared" si="368"/>
        <v>0</v>
      </c>
      <c r="AI442" s="20">
        <f t="shared" si="368"/>
        <v>0</v>
      </c>
      <c r="AJ442" s="20">
        <f t="shared" si="368"/>
        <v>0</v>
      </c>
      <c r="AK442" s="20">
        <f t="shared" si="368"/>
        <v>0</v>
      </c>
      <c r="AL442" s="20">
        <f t="shared" si="368"/>
        <v>0</v>
      </c>
      <c r="AM442" s="20">
        <f t="shared" si="368"/>
        <v>0</v>
      </c>
    </row>
    <row r="443" spans="1:39" s="2" customFormat="1" ht="63" outlineLevel="3" x14ac:dyDescent="0.25">
      <c r="A443" s="8" t="s">
        <v>513</v>
      </c>
      <c r="B443" s="34" t="s">
        <v>423</v>
      </c>
      <c r="C443" s="26" t="s">
        <v>32</v>
      </c>
      <c r="D443" s="26" t="s">
        <v>118</v>
      </c>
      <c r="E443" s="20">
        <f>SUM(F443:I443)</f>
        <v>475.8</v>
      </c>
      <c r="F443" s="38">
        <f>K443+P443+U443</f>
        <v>0</v>
      </c>
      <c r="G443" s="38">
        <f>L443+Q443+V443+AA443+AF443+AK443</f>
        <v>0</v>
      </c>
      <c r="H443" s="38">
        <f>M443+R443+W443+AB443+AG443+AL443</f>
        <v>475.8</v>
      </c>
      <c r="I443" s="38">
        <f>N443+S443+X443+AC443+AH443+AM443</f>
        <v>0</v>
      </c>
      <c r="J443" s="18">
        <f>SUM(K443:N443)</f>
        <v>0</v>
      </c>
      <c r="K443" s="19">
        <v>0</v>
      </c>
      <c r="L443" s="19">
        <v>0</v>
      </c>
      <c r="M443" s="19">
        <v>0</v>
      </c>
      <c r="N443" s="19">
        <v>0</v>
      </c>
      <c r="O443" s="18">
        <f>Q443+R443+S443</f>
        <v>475.8</v>
      </c>
      <c r="P443" s="19">
        <v>0</v>
      </c>
      <c r="Q443" s="19">
        <v>0</v>
      </c>
      <c r="R443" s="19">
        <v>475.8</v>
      </c>
      <c r="S443" s="19">
        <v>0</v>
      </c>
      <c r="T443" s="18">
        <f>SUM(U443:X443)</f>
        <v>0</v>
      </c>
      <c r="U443" s="19">
        <v>0</v>
      </c>
      <c r="V443" s="19">
        <v>0</v>
      </c>
      <c r="W443" s="19">
        <v>0</v>
      </c>
      <c r="X443" s="19">
        <v>0</v>
      </c>
      <c r="Y443" s="18">
        <f>SUM(Z443:AC443)</f>
        <v>0</v>
      </c>
      <c r="Z443" s="19">
        <v>0</v>
      </c>
      <c r="AA443" s="19">
        <v>0</v>
      </c>
      <c r="AB443" s="19">
        <v>0</v>
      </c>
      <c r="AC443" s="19">
        <v>0</v>
      </c>
      <c r="AD443" s="18">
        <f>SUM(AE443:AH443)</f>
        <v>0</v>
      </c>
      <c r="AE443" s="19">
        <v>0</v>
      </c>
      <c r="AF443" s="19">
        <v>0</v>
      </c>
      <c r="AG443" s="19">
        <v>0</v>
      </c>
      <c r="AH443" s="19">
        <v>0</v>
      </c>
      <c r="AI443" s="18">
        <f>SUM(AJ443:AM443)</f>
        <v>0</v>
      </c>
      <c r="AJ443" s="19">
        <v>0</v>
      </c>
      <c r="AK443" s="19">
        <v>0</v>
      </c>
      <c r="AL443" s="19">
        <v>0</v>
      </c>
      <c r="AM443" s="19">
        <v>0</v>
      </c>
    </row>
    <row r="444" spans="1:39" s="2" customFormat="1" ht="42" customHeight="1" outlineLevel="1" x14ac:dyDescent="0.25">
      <c r="A444" s="138" t="s">
        <v>534</v>
      </c>
      <c r="B444" s="183" t="s">
        <v>696</v>
      </c>
      <c r="C444" s="180"/>
      <c r="D444" s="181"/>
      <c r="E444" s="20">
        <f>SUM(E445)</f>
        <v>10</v>
      </c>
      <c r="F444" s="20">
        <f t="shared" si="368"/>
        <v>0</v>
      </c>
      <c r="G444" s="20">
        <f t="shared" si="368"/>
        <v>0</v>
      </c>
      <c r="H444" s="20">
        <f t="shared" si="368"/>
        <v>10</v>
      </c>
      <c r="I444" s="20">
        <f t="shared" si="368"/>
        <v>0</v>
      </c>
      <c r="J444" s="20">
        <f t="shared" si="368"/>
        <v>0</v>
      </c>
      <c r="K444" s="20">
        <f t="shared" si="368"/>
        <v>0</v>
      </c>
      <c r="L444" s="20">
        <f t="shared" si="368"/>
        <v>0</v>
      </c>
      <c r="M444" s="20">
        <f t="shared" si="368"/>
        <v>0</v>
      </c>
      <c r="N444" s="20">
        <f t="shared" si="368"/>
        <v>0</v>
      </c>
      <c r="O444" s="20">
        <f t="shared" si="368"/>
        <v>10</v>
      </c>
      <c r="P444" s="20">
        <f t="shared" si="368"/>
        <v>0</v>
      </c>
      <c r="Q444" s="20">
        <f t="shared" si="368"/>
        <v>0</v>
      </c>
      <c r="R444" s="20">
        <f t="shared" si="368"/>
        <v>10</v>
      </c>
      <c r="S444" s="20">
        <f t="shared" si="368"/>
        <v>0</v>
      </c>
      <c r="T444" s="20">
        <f t="shared" si="368"/>
        <v>0</v>
      </c>
      <c r="U444" s="20">
        <f t="shared" si="368"/>
        <v>0</v>
      </c>
      <c r="V444" s="20">
        <f t="shared" si="368"/>
        <v>0</v>
      </c>
      <c r="W444" s="20">
        <f t="shared" si="368"/>
        <v>0</v>
      </c>
      <c r="X444" s="20">
        <f t="shared" si="368"/>
        <v>0</v>
      </c>
      <c r="Y444" s="20">
        <f t="shared" si="368"/>
        <v>0</v>
      </c>
      <c r="Z444" s="20">
        <f t="shared" si="368"/>
        <v>0</v>
      </c>
      <c r="AA444" s="20">
        <f t="shared" si="368"/>
        <v>0</v>
      </c>
      <c r="AB444" s="20">
        <f t="shared" si="368"/>
        <v>0</v>
      </c>
      <c r="AC444" s="20">
        <f t="shared" si="368"/>
        <v>0</v>
      </c>
      <c r="AD444" s="20">
        <f t="shared" si="368"/>
        <v>0</v>
      </c>
      <c r="AE444" s="20">
        <f t="shared" si="368"/>
        <v>0</v>
      </c>
      <c r="AF444" s="20">
        <f t="shared" si="368"/>
        <v>0</v>
      </c>
      <c r="AG444" s="20">
        <f t="shared" si="368"/>
        <v>0</v>
      </c>
      <c r="AH444" s="20">
        <f t="shared" si="368"/>
        <v>0</v>
      </c>
      <c r="AI444" s="20">
        <f t="shared" si="368"/>
        <v>0</v>
      </c>
      <c r="AJ444" s="20">
        <f t="shared" si="368"/>
        <v>0</v>
      </c>
      <c r="AK444" s="20">
        <f t="shared" si="368"/>
        <v>0</v>
      </c>
      <c r="AL444" s="20">
        <f t="shared" si="368"/>
        <v>0</v>
      </c>
      <c r="AM444" s="20">
        <f t="shared" si="368"/>
        <v>0</v>
      </c>
    </row>
    <row r="445" spans="1:39" s="2" customFormat="1" ht="31.5" outlineLevel="3" x14ac:dyDescent="0.25">
      <c r="A445" s="8" t="s">
        <v>697</v>
      </c>
      <c r="B445" s="34" t="s">
        <v>539</v>
      </c>
      <c r="C445" s="26" t="s">
        <v>32</v>
      </c>
      <c r="D445" s="26" t="s">
        <v>8</v>
      </c>
      <c r="E445" s="20">
        <f>SUM(F445:I445)</f>
        <v>10</v>
      </c>
      <c r="F445" s="38">
        <f>K445+P445+U445</f>
        <v>0</v>
      </c>
      <c r="G445" s="38">
        <f>L445+Q445+V445+AA445+AF445+AK445</f>
        <v>0</v>
      </c>
      <c r="H445" s="38">
        <f>M445+R445+W445+AB445+AG445+AL445</f>
        <v>10</v>
      </c>
      <c r="I445" s="38">
        <f>N445+S445+X445+AC445+AH445+AM445</f>
        <v>0</v>
      </c>
      <c r="J445" s="18">
        <f>SUM(K445:N445)</f>
        <v>0</v>
      </c>
      <c r="K445" s="19">
        <v>0</v>
      </c>
      <c r="L445" s="19">
        <v>0</v>
      </c>
      <c r="M445" s="19">
        <v>0</v>
      </c>
      <c r="N445" s="19">
        <v>0</v>
      </c>
      <c r="O445" s="18">
        <f>Q445+R445+S445</f>
        <v>10</v>
      </c>
      <c r="P445" s="19"/>
      <c r="Q445" s="19">
        <v>0</v>
      </c>
      <c r="R445" s="19">
        <v>10</v>
      </c>
      <c r="S445" s="19">
        <v>0</v>
      </c>
      <c r="T445" s="18">
        <f>SUM(U445:X445)</f>
        <v>0</v>
      </c>
      <c r="U445" s="19"/>
      <c r="V445" s="19">
        <v>0</v>
      </c>
      <c r="W445" s="19">
        <v>0</v>
      </c>
      <c r="X445" s="19">
        <v>0</v>
      </c>
      <c r="Y445" s="18">
        <f>SUM(Z445:AC445)</f>
        <v>0</v>
      </c>
      <c r="Z445" s="19"/>
      <c r="AA445" s="19">
        <v>0</v>
      </c>
      <c r="AB445" s="19">
        <v>0</v>
      </c>
      <c r="AC445" s="19">
        <v>0</v>
      </c>
      <c r="AD445" s="18">
        <f>SUM(AE445:AH445)</f>
        <v>0</v>
      </c>
      <c r="AE445" s="19"/>
      <c r="AF445" s="19">
        <v>0</v>
      </c>
      <c r="AG445" s="19">
        <v>0</v>
      </c>
      <c r="AH445" s="19">
        <v>0</v>
      </c>
      <c r="AI445" s="18">
        <f>SUM(AJ445:AM445)</f>
        <v>0</v>
      </c>
      <c r="AJ445" s="19"/>
      <c r="AK445" s="19">
        <v>0</v>
      </c>
      <c r="AL445" s="19">
        <v>0</v>
      </c>
      <c r="AM445" s="19">
        <v>0</v>
      </c>
    </row>
    <row r="446" spans="1:39" s="5" customFormat="1" ht="44.25" customHeight="1" x14ac:dyDescent="0.25">
      <c r="A446" s="138">
        <v>6</v>
      </c>
      <c r="B446" s="171" t="s">
        <v>425</v>
      </c>
      <c r="C446" s="172"/>
      <c r="D446" s="172"/>
      <c r="E446" s="18">
        <f>E447+E466+E471+E475+E478+E480+E486</f>
        <v>166091.70000000001</v>
      </c>
      <c r="F446" s="18">
        <f t="shared" ref="F446:AM446" si="369">F447+F466+F471+F475+F478+F480+F486</f>
        <v>0</v>
      </c>
      <c r="G446" s="18">
        <f>G447+G466+G471+G475+G478+G480+G486</f>
        <v>17475.099999999999</v>
      </c>
      <c r="H446" s="18">
        <f t="shared" si="369"/>
        <v>148613.6</v>
      </c>
      <c r="I446" s="18">
        <f t="shared" si="369"/>
        <v>3.0000000000000004</v>
      </c>
      <c r="J446" s="18">
        <f t="shared" si="369"/>
        <v>11663.600000000002</v>
      </c>
      <c r="K446" s="18">
        <f t="shared" si="369"/>
        <v>0</v>
      </c>
      <c r="L446" s="18">
        <f t="shared" si="369"/>
        <v>0</v>
      </c>
      <c r="M446" s="18">
        <f t="shared" si="369"/>
        <v>11660.600000000002</v>
      </c>
      <c r="N446" s="18">
        <f t="shared" si="369"/>
        <v>3.0000000000000004</v>
      </c>
      <c r="O446" s="18">
        <f t="shared" si="369"/>
        <v>66877.3</v>
      </c>
      <c r="P446" s="18">
        <f t="shared" si="369"/>
        <v>0</v>
      </c>
      <c r="Q446" s="18">
        <f t="shared" si="369"/>
        <v>0</v>
      </c>
      <c r="R446" s="18">
        <f t="shared" si="369"/>
        <v>66877.3</v>
      </c>
      <c r="S446" s="18">
        <f t="shared" si="369"/>
        <v>0</v>
      </c>
      <c r="T446" s="18">
        <f t="shared" si="369"/>
        <v>76916.900000000009</v>
      </c>
      <c r="U446" s="18">
        <f t="shared" si="369"/>
        <v>0</v>
      </c>
      <c r="V446" s="18">
        <f t="shared" si="369"/>
        <v>17475.099999999999</v>
      </c>
      <c r="W446" s="18">
        <f t="shared" si="369"/>
        <v>59441.8</v>
      </c>
      <c r="X446" s="18">
        <f t="shared" si="369"/>
        <v>0</v>
      </c>
      <c r="Y446" s="18">
        <f t="shared" si="369"/>
        <v>3535.6999999999994</v>
      </c>
      <c r="Z446" s="18">
        <f t="shared" si="369"/>
        <v>0</v>
      </c>
      <c r="AA446" s="18">
        <f t="shared" si="369"/>
        <v>0</v>
      </c>
      <c r="AB446" s="18">
        <f t="shared" si="369"/>
        <v>3535.6999999999994</v>
      </c>
      <c r="AC446" s="18">
        <f t="shared" si="369"/>
        <v>0</v>
      </c>
      <c r="AD446" s="18">
        <f t="shared" si="369"/>
        <v>3549.1</v>
      </c>
      <c r="AE446" s="18">
        <f t="shared" si="369"/>
        <v>0</v>
      </c>
      <c r="AF446" s="18">
        <f t="shared" si="369"/>
        <v>0</v>
      </c>
      <c r="AG446" s="18">
        <f t="shared" si="369"/>
        <v>3549.1</v>
      </c>
      <c r="AH446" s="18">
        <f t="shared" si="369"/>
        <v>0</v>
      </c>
      <c r="AI446" s="18">
        <f t="shared" si="369"/>
        <v>3549.1</v>
      </c>
      <c r="AJ446" s="18">
        <f t="shared" si="369"/>
        <v>0</v>
      </c>
      <c r="AK446" s="18">
        <f t="shared" si="369"/>
        <v>0</v>
      </c>
      <c r="AL446" s="18">
        <f t="shared" si="369"/>
        <v>3549.1</v>
      </c>
      <c r="AM446" s="18">
        <f t="shared" si="369"/>
        <v>0</v>
      </c>
    </row>
    <row r="447" spans="1:39" s="5" customFormat="1" ht="78" customHeight="1" outlineLevel="1" x14ac:dyDescent="0.25">
      <c r="A447" s="138" t="s">
        <v>119</v>
      </c>
      <c r="B447" s="173" t="s">
        <v>737</v>
      </c>
      <c r="C447" s="174"/>
      <c r="D447" s="174"/>
      <c r="E447" s="18">
        <f>SUM(E448:E465)</f>
        <v>23367.9</v>
      </c>
      <c r="F447" s="18">
        <f t="shared" ref="F447:AM447" si="370">SUM(F448:F465)</f>
        <v>0</v>
      </c>
      <c r="G447" s="18">
        <f t="shared" si="370"/>
        <v>0</v>
      </c>
      <c r="H447" s="18">
        <f t="shared" si="370"/>
        <v>23367.9</v>
      </c>
      <c r="I447" s="18">
        <f t="shared" si="370"/>
        <v>0</v>
      </c>
      <c r="J447" s="18">
        <f t="shared" si="370"/>
        <v>5807.1000000000013</v>
      </c>
      <c r="K447" s="18">
        <f t="shared" si="370"/>
        <v>0</v>
      </c>
      <c r="L447" s="18">
        <f t="shared" si="370"/>
        <v>0</v>
      </c>
      <c r="M447" s="18">
        <f t="shared" si="370"/>
        <v>5807.1000000000013</v>
      </c>
      <c r="N447" s="18">
        <f t="shared" si="370"/>
        <v>0</v>
      </c>
      <c r="O447" s="18">
        <f t="shared" si="370"/>
        <v>3370.8</v>
      </c>
      <c r="P447" s="18">
        <f t="shared" si="370"/>
        <v>0</v>
      </c>
      <c r="Q447" s="18">
        <f t="shared" si="370"/>
        <v>0</v>
      </c>
      <c r="R447" s="18">
        <f t="shared" si="370"/>
        <v>3370.8</v>
      </c>
      <c r="S447" s="18">
        <f t="shared" si="370"/>
        <v>0</v>
      </c>
      <c r="T447" s="18">
        <f t="shared" si="370"/>
        <v>3556.1</v>
      </c>
      <c r="U447" s="18">
        <f t="shared" si="370"/>
        <v>0</v>
      </c>
      <c r="V447" s="18">
        <f t="shared" si="370"/>
        <v>0</v>
      </c>
      <c r="W447" s="18">
        <f>SUM(W448:W465)</f>
        <v>3556.1</v>
      </c>
      <c r="X447" s="18">
        <f t="shared" si="370"/>
        <v>0</v>
      </c>
      <c r="Y447" s="18">
        <f t="shared" si="370"/>
        <v>3535.6999999999994</v>
      </c>
      <c r="Z447" s="18">
        <f t="shared" si="370"/>
        <v>0</v>
      </c>
      <c r="AA447" s="18">
        <f t="shared" si="370"/>
        <v>0</v>
      </c>
      <c r="AB447" s="18">
        <f t="shared" si="370"/>
        <v>3535.6999999999994</v>
      </c>
      <c r="AC447" s="18">
        <f t="shared" si="370"/>
        <v>0</v>
      </c>
      <c r="AD447" s="18">
        <f t="shared" si="370"/>
        <v>3549.1</v>
      </c>
      <c r="AE447" s="18">
        <f t="shared" si="370"/>
        <v>0</v>
      </c>
      <c r="AF447" s="18">
        <f t="shared" si="370"/>
        <v>0</v>
      </c>
      <c r="AG447" s="18">
        <f t="shared" si="370"/>
        <v>3549.1</v>
      </c>
      <c r="AH447" s="18">
        <f t="shared" si="370"/>
        <v>0</v>
      </c>
      <c r="AI447" s="18">
        <f t="shared" si="370"/>
        <v>3549.1</v>
      </c>
      <c r="AJ447" s="18">
        <f t="shared" si="370"/>
        <v>0</v>
      </c>
      <c r="AK447" s="18">
        <f t="shared" si="370"/>
        <v>0</v>
      </c>
      <c r="AL447" s="18">
        <f t="shared" si="370"/>
        <v>3549.1</v>
      </c>
      <c r="AM447" s="18">
        <f t="shared" si="370"/>
        <v>0</v>
      </c>
    </row>
    <row r="448" spans="1:39" s="2" customFormat="1" ht="31.5" outlineLevel="2" x14ac:dyDescent="0.25">
      <c r="A448" s="8" t="s">
        <v>120</v>
      </c>
      <c r="B448" s="33" t="s">
        <v>66</v>
      </c>
      <c r="C448" s="26" t="s">
        <v>32</v>
      </c>
      <c r="D448" s="26" t="s">
        <v>118</v>
      </c>
      <c r="E448" s="20">
        <f t="shared" ref="E448:E465" si="371">SUM(F448:I448)</f>
        <v>304.79999999999995</v>
      </c>
      <c r="F448" s="38">
        <f t="shared" ref="F448:F465" si="372">K448+P448+U448</f>
        <v>0</v>
      </c>
      <c r="G448" s="38">
        <f t="shared" ref="G448:H465" si="373">L448+Q448+V448+AA448+AF448+AK448</f>
        <v>0</v>
      </c>
      <c r="H448" s="38">
        <f>M448+R448+W448+AB448+AG448+AL448</f>
        <v>304.79999999999995</v>
      </c>
      <c r="I448" s="38">
        <f t="shared" ref="I448:I465" si="374">N448+S448+X448+AC448+AH448+AM448</f>
        <v>0</v>
      </c>
      <c r="J448" s="18">
        <f t="shared" ref="J448:J465" si="375">SUM(K448:N448)</f>
        <v>55.4</v>
      </c>
      <c r="K448" s="19">
        <v>0</v>
      </c>
      <c r="L448" s="38">
        <v>0</v>
      </c>
      <c r="M448" s="19">
        <v>55.4</v>
      </c>
      <c r="N448" s="38">
        <v>0</v>
      </c>
      <c r="O448" s="18">
        <f t="shared" ref="O448:O465" si="376">SUM(P448:S448)</f>
        <v>48.7</v>
      </c>
      <c r="P448" s="19">
        <v>0</v>
      </c>
      <c r="Q448" s="38">
        <v>0</v>
      </c>
      <c r="R448" s="19">
        <v>48.7</v>
      </c>
      <c r="S448" s="38">
        <v>0</v>
      </c>
      <c r="T448" s="18">
        <f t="shared" ref="T448:T465" si="377">SUM(U448:X448)</f>
        <v>50.3</v>
      </c>
      <c r="U448" s="19">
        <v>0</v>
      </c>
      <c r="V448" s="38">
        <v>0</v>
      </c>
      <c r="W448" s="108">
        <v>50.3</v>
      </c>
      <c r="X448" s="38">
        <v>0</v>
      </c>
      <c r="Y448" s="18">
        <f t="shared" ref="Y448:Y465" si="378">SUM(Z448:AC448)</f>
        <v>50</v>
      </c>
      <c r="Z448" s="19">
        <v>0</v>
      </c>
      <c r="AA448" s="38">
        <v>0</v>
      </c>
      <c r="AB448" s="19">
        <v>50</v>
      </c>
      <c r="AC448" s="38">
        <v>0</v>
      </c>
      <c r="AD448" s="18">
        <f t="shared" ref="AD448:AD465" si="379">SUM(AE448:AH448)</f>
        <v>50.2</v>
      </c>
      <c r="AE448" s="19">
        <v>0</v>
      </c>
      <c r="AF448" s="38">
        <v>0</v>
      </c>
      <c r="AG448" s="19">
        <v>50.2</v>
      </c>
      <c r="AH448" s="38">
        <v>0</v>
      </c>
      <c r="AI448" s="18">
        <f t="shared" ref="AI448:AI465" si="380">SUM(AJ448:AM448)</f>
        <v>50.2</v>
      </c>
      <c r="AJ448" s="19">
        <v>0</v>
      </c>
      <c r="AK448" s="38">
        <v>0</v>
      </c>
      <c r="AL448" s="19">
        <v>50.2</v>
      </c>
      <c r="AM448" s="38">
        <v>0</v>
      </c>
    </row>
    <row r="449" spans="1:39" ht="31.5" outlineLevel="2" x14ac:dyDescent="0.25">
      <c r="A449" s="8" t="s">
        <v>121</v>
      </c>
      <c r="B449" s="55" t="s">
        <v>59</v>
      </c>
      <c r="C449" s="26" t="s">
        <v>32</v>
      </c>
      <c r="D449" s="26" t="s">
        <v>118</v>
      </c>
      <c r="E449" s="20">
        <f t="shared" si="371"/>
        <v>1553.8</v>
      </c>
      <c r="F449" s="38">
        <f t="shared" ref="F449:F456" si="381">K449+P449+U449</f>
        <v>0</v>
      </c>
      <c r="G449" s="38">
        <f t="shared" si="373"/>
        <v>0</v>
      </c>
      <c r="H449" s="38">
        <f t="shared" si="373"/>
        <v>1553.8</v>
      </c>
      <c r="I449" s="38">
        <f t="shared" si="374"/>
        <v>0</v>
      </c>
      <c r="J449" s="18">
        <f t="shared" si="375"/>
        <v>320</v>
      </c>
      <c r="K449" s="19">
        <v>0</v>
      </c>
      <c r="L449" s="38">
        <v>0</v>
      </c>
      <c r="M449" s="19">
        <v>320</v>
      </c>
      <c r="N449" s="38">
        <v>0</v>
      </c>
      <c r="O449" s="18">
        <f t="shared" si="376"/>
        <v>258.3</v>
      </c>
      <c r="P449" s="19">
        <v>0</v>
      </c>
      <c r="Q449" s="38">
        <v>0</v>
      </c>
      <c r="R449" s="19">
        <v>258.3</v>
      </c>
      <c r="S449" s="38">
        <v>0</v>
      </c>
      <c r="T449" s="18">
        <f t="shared" si="377"/>
        <v>244.5</v>
      </c>
      <c r="U449" s="19">
        <v>0</v>
      </c>
      <c r="V449" s="38">
        <v>0</v>
      </c>
      <c r="W449" s="108">
        <v>244.5</v>
      </c>
      <c r="X449" s="38">
        <v>0</v>
      </c>
      <c r="Y449" s="18">
        <f t="shared" si="378"/>
        <v>243</v>
      </c>
      <c r="Z449" s="19">
        <v>0</v>
      </c>
      <c r="AA449" s="38">
        <v>0</v>
      </c>
      <c r="AB449" s="19">
        <v>243</v>
      </c>
      <c r="AC449" s="38">
        <v>0</v>
      </c>
      <c r="AD449" s="18">
        <f t="shared" si="379"/>
        <v>244</v>
      </c>
      <c r="AE449" s="19">
        <v>0</v>
      </c>
      <c r="AF449" s="38">
        <v>0</v>
      </c>
      <c r="AG449" s="19">
        <v>244</v>
      </c>
      <c r="AH449" s="38">
        <v>0</v>
      </c>
      <c r="AI449" s="18">
        <f t="shared" si="380"/>
        <v>244</v>
      </c>
      <c r="AJ449" s="19">
        <v>0</v>
      </c>
      <c r="AK449" s="38">
        <v>0</v>
      </c>
      <c r="AL449" s="19">
        <v>244</v>
      </c>
      <c r="AM449" s="38">
        <v>0</v>
      </c>
    </row>
    <row r="450" spans="1:39" ht="31.5" outlineLevel="2" x14ac:dyDescent="0.25">
      <c r="A450" s="8" t="s">
        <v>122</v>
      </c>
      <c r="B450" s="55" t="s">
        <v>49</v>
      </c>
      <c r="C450" s="26" t="s">
        <v>32</v>
      </c>
      <c r="D450" s="26" t="s">
        <v>118</v>
      </c>
      <c r="E450" s="20">
        <f t="shared" si="371"/>
        <v>2553.6</v>
      </c>
      <c r="F450" s="38">
        <f t="shared" si="381"/>
        <v>0</v>
      </c>
      <c r="G450" s="38">
        <f t="shared" si="373"/>
        <v>0</v>
      </c>
      <c r="H450" s="38">
        <f t="shared" si="373"/>
        <v>2553.6</v>
      </c>
      <c r="I450" s="38">
        <f t="shared" si="374"/>
        <v>0</v>
      </c>
      <c r="J450" s="18">
        <f t="shared" si="375"/>
        <v>470.6</v>
      </c>
      <c r="K450" s="19">
        <v>0</v>
      </c>
      <c r="L450" s="38">
        <v>0</v>
      </c>
      <c r="M450" s="19">
        <v>470.6</v>
      </c>
      <c r="N450" s="38">
        <v>0</v>
      </c>
      <c r="O450" s="18">
        <f t="shared" si="376"/>
        <v>417.8</v>
      </c>
      <c r="P450" s="19">
        <v>0</v>
      </c>
      <c r="Q450" s="38">
        <v>0</v>
      </c>
      <c r="R450" s="19">
        <v>417.8</v>
      </c>
      <c r="S450" s="38">
        <v>0</v>
      </c>
      <c r="T450" s="18">
        <f t="shared" si="377"/>
        <v>417.3</v>
      </c>
      <c r="U450" s="19">
        <v>0</v>
      </c>
      <c r="V450" s="38">
        <v>0</v>
      </c>
      <c r="W450" s="108">
        <v>417.3</v>
      </c>
      <c r="X450" s="38">
        <v>0</v>
      </c>
      <c r="Y450" s="18">
        <f t="shared" si="378"/>
        <v>414.9</v>
      </c>
      <c r="Z450" s="19">
        <v>0</v>
      </c>
      <c r="AA450" s="38">
        <v>0</v>
      </c>
      <c r="AB450" s="19">
        <v>414.9</v>
      </c>
      <c r="AC450" s="38">
        <v>0</v>
      </c>
      <c r="AD450" s="18">
        <f t="shared" si="379"/>
        <v>416.5</v>
      </c>
      <c r="AE450" s="19">
        <v>0</v>
      </c>
      <c r="AF450" s="38">
        <v>0</v>
      </c>
      <c r="AG450" s="19">
        <v>416.5</v>
      </c>
      <c r="AH450" s="38">
        <v>0</v>
      </c>
      <c r="AI450" s="18">
        <f t="shared" si="380"/>
        <v>416.5</v>
      </c>
      <c r="AJ450" s="19">
        <v>0</v>
      </c>
      <c r="AK450" s="38">
        <v>0</v>
      </c>
      <c r="AL450" s="19">
        <v>416.5</v>
      </c>
      <c r="AM450" s="38">
        <v>0</v>
      </c>
    </row>
    <row r="451" spans="1:39" s="2" customFormat="1" ht="31.5" outlineLevel="2" x14ac:dyDescent="0.25">
      <c r="A451" s="8" t="s">
        <v>123</v>
      </c>
      <c r="B451" s="33" t="s">
        <v>50</v>
      </c>
      <c r="C451" s="26" t="s">
        <v>32</v>
      </c>
      <c r="D451" s="26" t="s">
        <v>118</v>
      </c>
      <c r="E451" s="20">
        <f t="shared" si="371"/>
        <v>1026.5999999999999</v>
      </c>
      <c r="F451" s="38">
        <f t="shared" si="381"/>
        <v>0</v>
      </c>
      <c r="G451" s="38">
        <f t="shared" si="373"/>
        <v>0</v>
      </c>
      <c r="H451" s="38">
        <f t="shared" si="373"/>
        <v>1026.5999999999999</v>
      </c>
      <c r="I451" s="38">
        <f t="shared" si="374"/>
        <v>0</v>
      </c>
      <c r="J451" s="18">
        <f t="shared" si="375"/>
        <v>167.7</v>
      </c>
      <c r="K451" s="19">
        <v>0</v>
      </c>
      <c r="L451" s="38">
        <v>0</v>
      </c>
      <c r="M451" s="19">
        <v>167.7</v>
      </c>
      <c r="N451" s="38">
        <v>0</v>
      </c>
      <c r="O451" s="18">
        <f t="shared" si="376"/>
        <v>169.1</v>
      </c>
      <c r="P451" s="19">
        <v>0</v>
      </c>
      <c r="Q451" s="38">
        <v>0</v>
      </c>
      <c r="R451" s="19">
        <v>169.1</v>
      </c>
      <c r="S451" s="38">
        <v>0</v>
      </c>
      <c r="T451" s="18">
        <f t="shared" si="377"/>
        <v>172.9</v>
      </c>
      <c r="U451" s="19">
        <v>0</v>
      </c>
      <c r="V451" s="38">
        <v>0</v>
      </c>
      <c r="W451" s="108">
        <v>172.9</v>
      </c>
      <c r="X451" s="38">
        <v>0</v>
      </c>
      <c r="Y451" s="18">
        <f t="shared" si="378"/>
        <v>171.9</v>
      </c>
      <c r="Z451" s="19">
        <v>0</v>
      </c>
      <c r="AA451" s="38">
        <v>0</v>
      </c>
      <c r="AB451" s="19">
        <v>171.9</v>
      </c>
      <c r="AC451" s="38">
        <v>0</v>
      </c>
      <c r="AD451" s="18">
        <f t="shared" si="379"/>
        <v>172.5</v>
      </c>
      <c r="AE451" s="19">
        <v>0</v>
      </c>
      <c r="AF451" s="38">
        <v>0</v>
      </c>
      <c r="AG451" s="19">
        <v>172.5</v>
      </c>
      <c r="AH451" s="38">
        <v>0</v>
      </c>
      <c r="AI451" s="18">
        <f t="shared" si="380"/>
        <v>172.5</v>
      </c>
      <c r="AJ451" s="19">
        <v>0</v>
      </c>
      <c r="AK451" s="38">
        <v>0</v>
      </c>
      <c r="AL451" s="19">
        <v>172.5</v>
      </c>
      <c r="AM451" s="38">
        <v>0</v>
      </c>
    </row>
    <row r="452" spans="1:39" ht="31.5" outlineLevel="2" x14ac:dyDescent="0.25">
      <c r="A452" s="8" t="s">
        <v>124</v>
      </c>
      <c r="B452" s="55" t="s">
        <v>65</v>
      </c>
      <c r="C452" s="26" t="s">
        <v>32</v>
      </c>
      <c r="D452" s="26" t="s">
        <v>118</v>
      </c>
      <c r="E452" s="20">
        <f t="shared" si="371"/>
        <v>532.59999999999991</v>
      </c>
      <c r="F452" s="38">
        <f t="shared" si="381"/>
        <v>0</v>
      </c>
      <c r="G452" s="38">
        <f t="shared" si="373"/>
        <v>0</v>
      </c>
      <c r="H452" s="38">
        <f t="shared" si="373"/>
        <v>532.59999999999991</v>
      </c>
      <c r="I452" s="38">
        <f t="shared" si="374"/>
        <v>0</v>
      </c>
      <c r="J452" s="18">
        <f t="shared" si="375"/>
        <v>0</v>
      </c>
      <c r="K452" s="19">
        <v>0</v>
      </c>
      <c r="L452" s="38">
        <v>0</v>
      </c>
      <c r="M452" s="19">
        <v>0</v>
      </c>
      <c r="N452" s="38">
        <v>0</v>
      </c>
      <c r="O452" s="18">
        <f t="shared" si="376"/>
        <v>0</v>
      </c>
      <c r="P452" s="19">
        <v>0</v>
      </c>
      <c r="Q452" s="38">
        <v>0</v>
      </c>
      <c r="R452" s="19">
        <f>130.1-130.1</f>
        <v>0</v>
      </c>
      <c r="S452" s="38">
        <v>0</v>
      </c>
      <c r="T452" s="18">
        <f t="shared" si="377"/>
        <v>133.5</v>
      </c>
      <c r="U452" s="19">
        <v>0</v>
      </c>
      <c r="V452" s="38">
        <v>0</v>
      </c>
      <c r="W452" s="108">
        <v>133.5</v>
      </c>
      <c r="X452" s="38">
        <v>0</v>
      </c>
      <c r="Y452" s="18">
        <f t="shared" si="378"/>
        <v>132.69999999999999</v>
      </c>
      <c r="Z452" s="19">
        <v>0</v>
      </c>
      <c r="AA452" s="38">
        <v>0</v>
      </c>
      <c r="AB452" s="19">
        <v>132.69999999999999</v>
      </c>
      <c r="AC452" s="38">
        <v>0</v>
      </c>
      <c r="AD452" s="18">
        <f t="shared" si="379"/>
        <v>133.19999999999999</v>
      </c>
      <c r="AE452" s="19">
        <v>0</v>
      </c>
      <c r="AF452" s="38">
        <v>0</v>
      </c>
      <c r="AG452" s="19">
        <v>133.19999999999999</v>
      </c>
      <c r="AH452" s="38">
        <v>0</v>
      </c>
      <c r="AI452" s="18">
        <f t="shared" si="380"/>
        <v>133.19999999999999</v>
      </c>
      <c r="AJ452" s="19">
        <v>0</v>
      </c>
      <c r="AK452" s="38">
        <v>0</v>
      </c>
      <c r="AL452" s="19">
        <v>133.19999999999999</v>
      </c>
      <c r="AM452" s="38">
        <v>0</v>
      </c>
    </row>
    <row r="453" spans="1:39" ht="31.5" outlineLevel="2" x14ac:dyDescent="0.25">
      <c r="A453" s="8" t="s">
        <v>125</v>
      </c>
      <c r="B453" s="55" t="s">
        <v>51</v>
      </c>
      <c r="C453" s="26" t="s">
        <v>32</v>
      </c>
      <c r="D453" s="26" t="s">
        <v>118</v>
      </c>
      <c r="E453" s="20">
        <f>SUM(F453:I453)</f>
        <v>387.9</v>
      </c>
      <c r="F453" s="38">
        <f t="shared" si="381"/>
        <v>0</v>
      </c>
      <c r="G453" s="38">
        <f>L453+Q453+V453+AA453+AF453+AK453</f>
        <v>0</v>
      </c>
      <c r="H453" s="38">
        <f>M453+R453+W453+AB453+AG453+AL453</f>
        <v>387.9</v>
      </c>
      <c r="I453" s="38">
        <f>N453+S453+X453+AC453+AH453+AM453</f>
        <v>0</v>
      </c>
      <c r="J453" s="18">
        <f>SUM(K453:N453)</f>
        <v>0</v>
      </c>
      <c r="K453" s="19">
        <v>0</v>
      </c>
      <c r="L453" s="38">
        <v>0</v>
      </c>
      <c r="M453" s="19">
        <v>0</v>
      </c>
      <c r="N453" s="38">
        <v>0</v>
      </c>
      <c r="O453" s="18">
        <f>SUM(P453:S453)</f>
        <v>0</v>
      </c>
      <c r="P453" s="19">
        <v>0</v>
      </c>
      <c r="Q453" s="38">
        <v>0</v>
      </c>
      <c r="R453" s="19"/>
      <c r="S453" s="38">
        <v>0</v>
      </c>
      <c r="T453" s="18">
        <f>SUM(U453:X453)</f>
        <v>97.2</v>
      </c>
      <c r="U453" s="19">
        <v>0</v>
      </c>
      <c r="V453" s="38">
        <v>0</v>
      </c>
      <c r="W453" s="108">
        <v>97.2</v>
      </c>
      <c r="X453" s="38">
        <v>0</v>
      </c>
      <c r="Y453" s="18">
        <f>SUM(Z453:AC453)</f>
        <v>96.7</v>
      </c>
      <c r="Z453" s="19">
        <v>0</v>
      </c>
      <c r="AA453" s="38">
        <v>0</v>
      </c>
      <c r="AB453" s="19">
        <v>96.7</v>
      </c>
      <c r="AC453" s="38">
        <v>0</v>
      </c>
      <c r="AD453" s="18">
        <f>SUM(AE453:AH453)</f>
        <v>97</v>
      </c>
      <c r="AE453" s="19">
        <v>0</v>
      </c>
      <c r="AF453" s="38">
        <v>0</v>
      </c>
      <c r="AG453" s="19">
        <v>97</v>
      </c>
      <c r="AH453" s="38">
        <v>0</v>
      </c>
      <c r="AI453" s="18">
        <f>SUM(AJ453:AM453)</f>
        <v>97</v>
      </c>
      <c r="AJ453" s="19">
        <v>0</v>
      </c>
      <c r="AK453" s="38">
        <v>0</v>
      </c>
      <c r="AL453" s="19">
        <v>97</v>
      </c>
      <c r="AM453" s="38">
        <v>0</v>
      </c>
    </row>
    <row r="454" spans="1:39" s="2" customFormat="1" ht="31.5" outlineLevel="2" x14ac:dyDescent="0.25">
      <c r="A454" s="8" t="s">
        <v>126</v>
      </c>
      <c r="B454" s="33" t="s">
        <v>52</v>
      </c>
      <c r="C454" s="26" t="s">
        <v>32</v>
      </c>
      <c r="D454" s="26" t="s">
        <v>118</v>
      </c>
      <c r="E454" s="20">
        <f t="shared" si="371"/>
        <v>1505.6999999999998</v>
      </c>
      <c r="F454" s="38">
        <f t="shared" si="381"/>
        <v>0</v>
      </c>
      <c r="G454" s="38">
        <f t="shared" si="373"/>
        <v>0</v>
      </c>
      <c r="H454" s="38">
        <f t="shared" si="373"/>
        <v>1505.6999999999998</v>
      </c>
      <c r="I454" s="38">
        <f t="shared" si="374"/>
        <v>0</v>
      </c>
      <c r="J454" s="18">
        <f t="shared" si="375"/>
        <v>252.9</v>
      </c>
      <c r="K454" s="19">
        <v>0</v>
      </c>
      <c r="L454" s="38">
        <v>0</v>
      </c>
      <c r="M454" s="19">
        <v>252.9</v>
      </c>
      <c r="N454" s="38">
        <v>0</v>
      </c>
      <c r="O454" s="18">
        <f t="shared" si="376"/>
        <v>254.9</v>
      </c>
      <c r="P454" s="19">
        <v>0</v>
      </c>
      <c r="Q454" s="38">
        <v>0</v>
      </c>
      <c r="R454" s="19">
        <v>254.9</v>
      </c>
      <c r="S454" s="38">
        <v>0</v>
      </c>
      <c r="T454" s="18">
        <f t="shared" si="377"/>
        <v>250.1</v>
      </c>
      <c r="U454" s="19">
        <v>0</v>
      </c>
      <c r="V454" s="38">
        <v>0</v>
      </c>
      <c r="W454" s="108">
        <v>250.1</v>
      </c>
      <c r="X454" s="38">
        <v>0</v>
      </c>
      <c r="Y454" s="18">
        <f t="shared" si="378"/>
        <v>248.6</v>
      </c>
      <c r="Z454" s="19">
        <v>0</v>
      </c>
      <c r="AA454" s="38">
        <v>0</v>
      </c>
      <c r="AB454" s="19">
        <v>248.6</v>
      </c>
      <c r="AC454" s="38">
        <v>0</v>
      </c>
      <c r="AD454" s="18">
        <f t="shared" si="379"/>
        <v>249.6</v>
      </c>
      <c r="AE454" s="19">
        <v>0</v>
      </c>
      <c r="AF454" s="38">
        <v>0</v>
      </c>
      <c r="AG454" s="19">
        <v>249.6</v>
      </c>
      <c r="AH454" s="38">
        <v>0</v>
      </c>
      <c r="AI454" s="18">
        <f t="shared" si="380"/>
        <v>249.6</v>
      </c>
      <c r="AJ454" s="19">
        <v>0</v>
      </c>
      <c r="AK454" s="38">
        <v>0</v>
      </c>
      <c r="AL454" s="19">
        <v>249.6</v>
      </c>
      <c r="AM454" s="38">
        <v>0</v>
      </c>
    </row>
    <row r="455" spans="1:39" s="2" customFormat="1" ht="31.5" outlineLevel="2" x14ac:dyDescent="0.25">
      <c r="A455" s="8" t="s">
        <v>127</v>
      </c>
      <c r="B455" s="33" t="s">
        <v>64</v>
      </c>
      <c r="C455" s="26" t="s">
        <v>32</v>
      </c>
      <c r="D455" s="26" t="s">
        <v>118</v>
      </c>
      <c r="E455" s="20">
        <f t="shared" si="371"/>
        <v>1484.5</v>
      </c>
      <c r="F455" s="38">
        <f t="shared" si="381"/>
        <v>0</v>
      </c>
      <c r="G455" s="38">
        <f t="shared" si="373"/>
        <v>0</v>
      </c>
      <c r="H455" s="38">
        <f t="shared" si="373"/>
        <v>1484.5</v>
      </c>
      <c r="I455" s="38">
        <f t="shared" si="374"/>
        <v>0</v>
      </c>
      <c r="J455" s="18">
        <f t="shared" si="375"/>
        <v>252.9</v>
      </c>
      <c r="K455" s="19">
        <v>0</v>
      </c>
      <c r="L455" s="38">
        <v>0</v>
      </c>
      <c r="M455" s="19">
        <v>252.9</v>
      </c>
      <c r="N455" s="38">
        <v>0</v>
      </c>
      <c r="O455" s="18">
        <f t="shared" si="376"/>
        <v>251.2</v>
      </c>
      <c r="P455" s="19">
        <v>0</v>
      </c>
      <c r="Q455" s="38">
        <v>0</v>
      </c>
      <c r="R455" s="19">
        <v>251.2</v>
      </c>
      <c r="S455" s="38">
        <v>0</v>
      </c>
      <c r="T455" s="18">
        <f t="shared" si="377"/>
        <v>245.7</v>
      </c>
      <c r="U455" s="19">
        <v>0</v>
      </c>
      <c r="V455" s="38">
        <v>0</v>
      </c>
      <c r="W455" s="108">
        <v>245.7</v>
      </c>
      <c r="X455" s="38">
        <v>0</v>
      </c>
      <c r="Y455" s="18">
        <f t="shared" si="378"/>
        <v>244.3</v>
      </c>
      <c r="Z455" s="19">
        <v>0</v>
      </c>
      <c r="AA455" s="38">
        <v>0</v>
      </c>
      <c r="AB455" s="19">
        <v>244.3</v>
      </c>
      <c r="AC455" s="38">
        <v>0</v>
      </c>
      <c r="AD455" s="18">
        <f t="shared" si="379"/>
        <v>245.2</v>
      </c>
      <c r="AE455" s="19">
        <v>0</v>
      </c>
      <c r="AF455" s="38">
        <v>0</v>
      </c>
      <c r="AG455" s="19">
        <v>245.2</v>
      </c>
      <c r="AH455" s="38">
        <v>0</v>
      </c>
      <c r="AI455" s="18">
        <f t="shared" si="380"/>
        <v>245.2</v>
      </c>
      <c r="AJ455" s="19">
        <v>0</v>
      </c>
      <c r="AK455" s="38">
        <v>0</v>
      </c>
      <c r="AL455" s="19">
        <v>245.2</v>
      </c>
      <c r="AM455" s="38">
        <v>0</v>
      </c>
    </row>
    <row r="456" spans="1:39" s="2" customFormat="1" ht="31.5" outlineLevel="2" x14ac:dyDescent="0.25">
      <c r="A456" s="8" t="s">
        <v>128</v>
      </c>
      <c r="B456" s="33" t="s">
        <v>53</v>
      </c>
      <c r="C456" s="26" t="s">
        <v>32</v>
      </c>
      <c r="D456" s="26" t="s">
        <v>118</v>
      </c>
      <c r="E456" s="20">
        <f t="shared" si="371"/>
        <v>1549.6</v>
      </c>
      <c r="F456" s="38">
        <f t="shared" si="381"/>
        <v>0</v>
      </c>
      <c r="G456" s="38">
        <f t="shared" si="373"/>
        <v>0</v>
      </c>
      <c r="H456" s="38">
        <f t="shared" si="373"/>
        <v>1549.6</v>
      </c>
      <c r="I456" s="38">
        <f t="shared" si="374"/>
        <v>0</v>
      </c>
      <c r="J456" s="18">
        <f t="shared" si="375"/>
        <v>274.7</v>
      </c>
      <c r="K456" s="19">
        <v>0</v>
      </c>
      <c r="L456" s="38">
        <v>0</v>
      </c>
      <c r="M456" s="19">
        <v>274.7</v>
      </c>
      <c r="N456" s="38">
        <v>0</v>
      </c>
      <c r="O456" s="18">
        <f t="shared" si="376"/>
        <v>263.3</v>
      </c>
      <c r="P456" s="19">
        <v>0</v>
      </c>
      <c r="Q456" s="38">
        <v>0</v>
      </c>
      <c r="R456" s="19">
        <v>263.3</v>
      </c>
      <c r="S456" s="38">
        <v>0</v>
      </c>
      <c r="T456" s="18">
        <f t="shared" si="377"/>
        <v>253.5</v>
      </c>
      <c r="U456" s="19">
        <v>0</v>
      </c>
      <c r="V456" s="38">
        <v>0</v>
      </c>
      <c r="W456" s="108">
        <v>253.5</v>
      </c>
      <c r="X456" s="38">
        <v>0</v>
      </c>
      <c r="Y456" s="18">
        <f t="shared" si="378"/>
        <v>252.1</v>
      </c>
      <c r="Z456" s="19">
        <v>0</v>
      </c>
      <c r="AA456" s="38">
        <v>0</v>
      </c>
      <c r="AB456" s="19">
        <v>252.1</v>
      </c>
      <c r="AC456" s="38">
        <v>0</v>
      </c>
      <c r="AD456" s="18">
        <f t="shared" si="379"/>
        <v>253</v>
      </c>
      <c r="AE456" s="19">
        <v>0</v>
      </c>
      <c r="AF456" s="38">
        <v>0</v>
      </c>
      <c r="AG456" s="19">
        <v>253</v>
      </c>
      <c r="AH456" s="38">
        <v>0</v>
      </c>
      <c r="AI456" s="18">
        <f t="shared" si="380"/>
        <v>253</v>
      </c>
      <c r="AJ456" s="19">
        <v>0</v>
      </c>
      <c r="AK456" s="38">
        <v>0</v>
      </c>
      <c r="AL456" s="19">
        <v>253</v>
      </c>
      <c r="AM456" s="38">
        <v>0</v>
      </c>
    </row>
    <row r="457" spans="1:39" s="2" customFormat="1" ht="31.5" outlineLevel="2" x14ac:dyDescent="0.25">
      <c r="A457" s="8" t="s">
        <v>129</v>
      </c>
      <c r="B457" s="33" t="s">
        <v>23</v>
      </c>
      <c r="C457" s="26" t="s">
        <v>32</v>
      </c>
      <c r="D457" s="26" t="s">
        <v>118</v>
      </c>
      <c r="E457" s="20">
        <f t="shared" si="371"/>
        <v>2279.6999999999998</v>
      </c>
      <c r="F457" s="38">
        <f t="shared" si="372"/>
        <v>0</v>
      </c>
      <c r="G457" s="38">
        <f t="shared" si="373"/>
        <v>0</v>
      </c>
      <c r="H457" s="38">
        <f t="shared" si="373"/>
        <v>2279.6999999999998</v>
      </c>
      <c r="I457" s="38">
        <f t="shared" si="374"/>
        <v>0</v>
      </c>
      <c r="J457" s="18">
        <f t="shared" si="375"/>
        <v>2279.6999999999998</v>
      </c>
      <c r="K457" s="19">
        <v>0</v>
      </c>
      <c r="L457" s="38">
        <v>0</v>
      </c>
      <c r="M457" s="19">
        <v>2279.6999999999998</v>
      </c>
      <c r="N457" s="38">
        <v>0</v>
      </c>
      <c r="O457" s="18">
        <f t="shared" si="376"/>
        <v>0</v>
      </c>
      <c r="P457" s="19">
        <v>0</v>
      </c>
      <c r="Q457" s="38">
        <v>0</v>
      </c>
      <c r="R457" s="19">
        <f>2239.5-2239.5</f>
        <v>0</v>
      </c>
      <c r="S457" s="38">
        <v>0</v>
      </c>
      <c r="T457" s="18">
        <f t="shared" si="377"/>
        <v>0</v>
      </c>
      <c r="U457" s="19">
        <v>0</v>
      </c>
      <c r="V457" s="38">
        <v>0</v>
      </c>
      <c r="W457" s="19">
        <v>0</v>
      </c>
      <c r="X457" s="38">
        <v>0</v>
      </c>
      <c r="Y457" s="18">
        <f t="shared" si="378"/>
        <v>0</v>
      </c>
      <c r="Z457" s="19">
        <v>0</v>
      </c>
      <c r="AA457" s="38">
        <v>0</v>
      </c>
      <c r="AB457" s="19">
        <v>0</v>
      </c>
      <c r="AC457" s="38">
        <v>0</v>
      </c>
      <c r="AD457" s="18">
        <f t="shared" si="379"/>
        <v>0</v>
      </c>
      <c r="AE457" s="19">
        <v>0</v>
      </c>
      <c r="AF457" s="38">
        <v>0</v>
      </c>
      <c r="AG457" s="19">
        <v>0</v>
      </c>
      <c r="AH457" s="38">
        <v>0</v>
      </c>
      <c r="AI457" s="18">
        <f t="shared" si="380"/>
        <v>0</v>
      </c>
      <c r="AJ457" s="19">
        <v>0</v>
      </c>
      <c r="AK457" s="38">
        <v>0</v>
      </c>
      <c r="AL457" s="19">
        <v>0</v>
      </c>
      <c r="AM457" s="38">
        <v>0</v>
      </c>
    </row>
    <row r="458" spans="1:39" s="2" customFormat="1" ht="31.5" outlineLevel="2" x14ac:dyDescent="0.25">
      <c r="A458" s="8" t="s">
        <v>130</v>
      </c>
      <c r="B458" s="33" t="s">
        <v>62</v>
      </c>
      <c r="C458" s="26" t="s">
        <v>32</v>
      </c>
      <c r="D458" s="26" t="s">
        <v>118</v>
      </c>
      <c r="E458" s="20">
        <f t="shared" si="371"/>
        <v>2920.2</v>
      </c>
      <c r="F458" s="38">
        <f t="shared" si="372"/>
        <v>0</v>
      </c>
      <c r="G458" s="38">
        <f t="shared" si="373"/>
        <v>0</v>
      </c>
      <c r="H458" s="38">
        <f t="shared" si="373"/>
        <v>2920.2</v>
      </c>
      <c r="I458" s="38">
        <f t="shared" si="374"/>
        <v>0</v>
      </c>
      <c r="J458" s="18">
        <f t="shared" si="375"/>
        <v>494.7</v>
      </c>
      <c r="K458" s="19">
        <v>0</v>
      </c>
      <c r="L458" s="38">
        <v>0</v>
      </c>
      <c r="M458" s="19">
        <v>494.7</v>
      </c>
      <c r="N458" s="38">
        <v>0</v>
      </c>
      <c r="O458" s="18">
        <f t="shared" si="376"/>
        <v>488.3</v>
      </c>
      <c r="P458" s="19">
        <v>0</v>
      </c>
      <c r="Q458" s="38">
        <v>0</v>
      </c>
      <c r="R458" s="19">
        <v>488.3</v>
      </c>
      <c r="S458" s="38">
        <v>0</v>
      </c>
      <c r="T458" s="18">
        <f t="shared" si="377"/>
        <v>485.5</v>
      </c>
      <c r="U458" s="19">
        <v>0</v>
      </c>
      <c r="V458" s="38">
        <v>0</v>
      </c>
      <c r="W458" s="108">
        <v>485.5</v>
      </c>
      <c r="X458" s="38">
        <v>0</v>
      </c>
      <c r="Y458" s="18">
        <f t="shared" si="378"/>
        <v>482.7</v>
      </c>
      <c r="Z458" s="19">
        <v>0</v>
      </c>
      <c r="AA458" s="38">
        <v>0</v>
      </c>
      <c r="AB458" s="19">
        <v>482.7</v>
      </c>
      <c r="AC458" s="38">
        <v>0</v>
      </c>
      <c r="AD458" s="18">
        <f t="shared" si="379"/>
        <v>484.5</v>
      </c>
      <c r="AE458" s="19">
        <v>0</v>
      </c>
      <c r="AF458" s="38">
        <v>0</v>
      </c>
      <c r="AG458" s="19">
        <v>484.5</v>
      </c>
      <c r="AH458" s="38">
        <v>0</v>
      </c>
      <c r="AI458" s="18">
        <f t="shared" si="380"/>
        <v>484.5</v>
      </c>
      <c r="AJ458" s="19">
        <v>0</v>
      </c>
      <c r="AK458" s="38">
        <v>0</v>
      </c>
      <c r="AL458" s="19">
        <v>484.5</v>
      </c>
      <c r="AM458" s="38">
        <v>0</v>
      </c>
    </row>
    <row r="459" spans="1:39" s="2" customFormat="1" ht="31.5" outlineLevel="2" x14ac:dyDescent="0.25">
      <c r="A459" s="8" t="s">
        <v>131</v>
      </c>
      <c r="B459" s="33" t="s">
        <v>60</v>
      </c>
      <c r="C459" s="26" t="s">
        <v>32</v>
      </c>
      <c r="D459" s="26" t="s">
        <v>118</v>
      </c>
      <c r="E459" s="20">
        <f t="shared" si="371"/>
        <v>1096.2</v>
      </c>
      <c r="F459" s="38">
        <f t="shared" si="372"/>
        <v>0</v>
      </c>
      <c r="G459" s="38">
        <f t="shared" si="373"/>
        <v>0</v>
      </c>
      <c r="H459" s="38">
        <f t="shared" si="373"/>
        <v>1096.2</v>
      </c>
      <c r="I459" s="38">
        <f t="shared" si="374"/>
        <v>0</v>
      </c>
      <c r="J459" s="18">
        <f t="shared" si="375"/>
        <v>189.6</v>
      </c>
      <c r="K459" s="19">
        <v>0</v>
      </c>
      <c r="L459" s="38">
        <v>0</v>
      </c>
      <c r="M459" s="19">
        <v>189.6</v>
      </c>
      <c r="N459" s="38">
        <v>0</v>
      </c>
      <c r="O459" s="18">
        <f t="shared" si="376"/>
        <v>179.4</v>
      </c>
      <c r="P459" s="19">
        <v>0</v>
      </c>
      <c r="Q459" s="38">
        <v>0</v>
      </c>
      <c r="R459" s="19">
        <v>179.4</v>
      </c>
      <c r="S459" s="38">
        <v>0</v>
      </c>
      <c r="T459" s="18">
        <f t="shared" si="377"/>
        <v>182.2</v>
      </c>
      <c r="U459" s="19">
        <v>0</v>
      </c>
      <c r="V459" s="38">
        <v>0</v>
      </c>
      <c r="W459" s="108">
        <v>182.2</v>
      </c>
      <c r="X459" s="38">
        <v>0</v>
      </c>
      <c r="Y459" s="18">
        <f t="shared" si="378"/>
        <v>181.2</v>
      </c>
      <c r="Z459" s="19">
        <v>0</v>
      </c>
      <c r="AA459" s="38">
        <v>0</v>
      </c>
      <c r="AB459" s="19">
        <v>181.2</v>
      </c>
      <c r="AC459" s="38">
        <v>0</v>
      </c>
      <c r="AD459" s="18">
        <f t="shared" si="379"/>
        <v>181.9</v>
      </c>
      <c r="AE459" s="19">
        <v>0</v>
      </c>
      <c r="AF459" s="38">
        <v>0</v>
      </c>
      <c r="AG459" s="19">
        <v>181.9</v>
      </c>
      <c r="AH459" s="38">
        <v>0</v>
      </c>
      <c r="AI459" s="18">
        <f t="shared" si="380"/>
        <v>181.9</v>
      </c>
      <c r="AJ459" s="19">
        <v>0</v>
      </c>
      <c r="AK459" s="38">
        <v>0</v>
      </c>
      <c r="AL459" s="19">
        <v>181.9</v>
      </c>
      <c r="AM459" s="38">
        <v>0</v>
      </c>
    </row>
    <row r="460" spans="1:39" s="2" customFormat="1" ht="31.5" outlineLevel="2" x14ac:dyDescent="0.25">
      <c r="A460" s="8" t="s">
        <v>132</v>
      </c>
      <c r="B460" s="33" t="s">
        <v>61</v>
      </c>
      <c r="C460" s="26" t="s">
        <v>32</v>
      </c>
      <c r="D460" s="26" t="s">
        <v>118</v>
      </c>
      <c r="E460" s="20">
        <f t="shared" si="371"/>
        <v>1100.2</v>
      </c>
      <c r="F460" s="38">
        <f t="shared" si="372"/>
        <v>0</v>
      </c>
      <c r="G460" s="38">
        <f t="shared" si="373"/>
        <v>0</v>
      </c>
      <c r="H460" s="38">
        <f t="shared" si="373"/>
        <v>1100.2</v>
      </c>
      <c r="I460" s="38">
        <f t="shared" si="374"/>
        <v>0</v>
      </c>
      <c r="J460" s="18">
        <f t="shared" si="375"/>
        <v>183.3</v>
      </c>
      <c r="K460" s="19">
        <v>0</v>
      </c>
      <c r="L460" s="38">
        <v>0</v>
      </c>
      <c r="M460" s="19">
        <v>183.3</v>
      </c>
      <c r="N460" s="38">
        <v>0</v>
      </c>
      <c r="O460" s="18">
        <f t="shared" si="376"/>
        <v>188.4</v>
      </c>
      <c r="P460" s="19">
        <v>0</v>
      </c>
      <c r="Q460" s="38">
        <v>0</v>
      </c>
      <c r="R460" s="19">
        <v>188.4</v>
      </c>
      <c r="S460" s="38">
        <v>0</v>
      </c>
      <c r="T460" s="18">
        <f t="shared" si="377"/>
        <v>182.6</v>
      </c>
      <c r="U460" s="19">
        <v>0</v>
      </c>
      <c r="V460" s="38">
        <v>0</v>
      </c>
      <c r="W460" s="108">
        <v>182.6</v>
      </c>
      <c r="X460" s="38">
        <v>0</v>
      </c>
      <c r="Y460" s="18">
        <f t="shared" si="378"/>
        <v>181.5</v>
      </c>
      <c r="Z460" s="19">
        <v>0</v>
      </c>
      <c r="AA460" s="38">
        <v>0</v>
      </c>
      <c r="AB460" s="19">
        <v>181.5</v>
      </c>
      <c r="AC460" s="38">
        <v>0</v>
      </c>
      <c r="AD460" s="18">
        <f t="shared" si="379"/>
        <v>182.2</v>
      </c>
      <c r="AE460" s="19">
        <v>0</v>
      </c>
      <c r="AF460" s="38">
        <v>0</v>
      </c>
      <c r="AG460" s="19">
        <v>182.2</v>
      </c>
      <c r="AH460" s="38">
        <v>0</v>
      </c>
      <c r="AI460" s="18">
        <f t="shared" si="380"/>
        <v>182.2</v>
      </c>
      <c r="AJ460" s="19">
        <v>0</v>
      </c>
      <c r="AK460" s="38">
        <v>0</v>
      </c>
      <c r="AL460" s="19">
        <v>182.2</v>
      </c>
      <c r="AM460" s="38">
        <v>0</v>
      </c>
    </row>
    <row r="461" spans="1:39" s="2" customFormat="1" ht="31.5" outlineLevel="2" x14ac:dyDescent="0.25">
      <c r="A461" s="8" t="s">
        <v>133</v>
      </c>
      <c r="B461" s="33" t="s">
        <v>54</v>
      </c>
      <c r="C461" s="26" t="s">
        <v>32</v>
      </c>
      <c r="D461" s="26" t="s">
        <v>118</v>
      </c>
      <c r="E461" s="20">
        <f t="shared" si="371"/>
        <v>1348.2</v>
      </c>
      <c r="F461" s="38">
        <f t="shared" si="372"/>
        <v>0</v>
      </c>
      <c r="G461" s="38">
        <f t="shared" si="373"/>
        <v>0</v>
      </c>
      <c r="H461" s="38">
        <f t="shared" si="373"/>
        <v>1348.2</v>
      </c>
      <c r="I461" s="38">
        <f t="shared" si="374"/>
        <v>0</v>
      </c>
      <c r="J461" s="18">
        <f t="shared" si="375"/>
        <v>235.8</v>
      </c>
      <c r="K461" s="19">
        <v>0</v>
      </c>
      <c r="L461" s="38">
        <v>0</v>
      </c>
      <c r="M461" s="19">
        <v>235.8</v>
      </c>
      <c r="N461" s="38">
        <v>0</v>
      </c>
      <c r="O461" s="18">
        <f t="shared" si="376"/>
        <v>226.8</v>
      </c>
      <c r="P461" s="19">
        <v>0</v>
      </c>
      <c r="Q461" s="38">
        <v>0</v>
      </c>
      <c r="R461" s="19">
        <v>226.8</v>
      </c>
      <c r="S461" s="38">
        <v>0</v>
      </c>
      <c r="T461" s="18">
        <f t="shared" si="377"/>
        <v>221.9</v>
      </c>
      <c r="U461" s="19">
        <v>0</v>
      </c>
      <c r="V461" s="38">
        <v>0</v>
      </c>
      <c r="W461" s="108">
        <v>221.9</v>
      </c>
      <c r="X461" s="38">
        <v>0</v>
      </c>
      <c r="Y461" s="18">
        <f t="shared" si="378"/>
        <v>220.7</v>
      </c>
      <c r="Z461" s="19">
        <v>0</v>
      </c>
      <c r="AA461" s="38">
        <v>0</v>
      </c>
      <c r="AB461" s="19">
        <v>220.7</v>
      </c>
      <c r="AC461" s="38">
        <v>0</v>
      </c>
      <c r="AD461" s="18">
        <f t="shared" si="379"/>
        <v>221.5</v>
      </c>
      <c r="AE461" s="19">
        <v>0</v>
      </c>
      <c r="AF461" s="38">
        <v>0</v>
      </c>
      <c r="AG461" s="19">
        <v>221.5</v>
      </c>
      <c r="AH461" s="38">
        <v>0</v>
      </c>
      <c r="AI461" s="18">
        <f t="shared" si="380"/>
        <v>221.5</v>
      </c>
      <c r="AJ461" s="19">
        <v>0</v>
      </c>
      <c r="AK461" s="38">
        <v>0</v>
      </c>
      <c r="AL461" s="19">
        <v>221.5</v>
      </c>
      <c r="AM461" s="38">
        <v>0</v>
      </c>
    </row>
    <row r="462" spans="1:39" s="2" customFormat="1" ht="31.5" outlineLevel="2" x14ac:dyDescent="0.25">
      <c r="A462" s="8" t="s">
        <v>134</v>
      </c>
      <c r="B462" s="33" t="s">
        <v>55</v>
      </c>
      <c r="C462" s="26" t="s">
        <v>32</v>
      </c>
      <c r="D462" s="26" t="s">
        <v>118</v>
      </c>
      <c r="E462" s="20">
        <f t="shared" si="371"/>
        <v>1220.4000000000001</v>
      </c>
      <c r="F462" s="38">
        <f t="shared" si="372"/>
        <v>0</v>
      </c>
      <c r="G462" s="38">
        <f t="shared" si="373"/>
        <v>0</v>
      </c>
      <c r="H462" s="38">
        <f t="shared" si="373"/>
        <v>1220.4000000000001</v>
      </c>
      <c r="I462" s="38">
        <f t="shared" si="374"/>
        <v>0</v>
      </c>
      <c r="J462" s="18">
        <f t="shared" si="375"/>
        <v>204.1</v>
      </c>
      <c r="K462" s="19">
        <v>0</v>
      </c>
      <c r="L462" s="38">
        <v>0</v>
      </c>
      <c r="M462" s="19">
        <v>204.1</v>
      </c>
      <c r="N462" s="38">
        <v>0</v>
      </c>
      <c r="O462" s="18">
        <f t="shared" si="376"/>
        <v>203.1</v>
      </c>
      <c r="P462" s="19">
        <v>0</v>
      </c>
      <c r="Q462" s="38">
        <v>0</v>
      </c>
      <c r="R462" s="19">
        <v>203.1</v>
      </c>
      <c r="S462" s="38">
        <v>0</v>
      </c>
      <c r="T462" s="18">
        <f t="shared" si="377"/>
        <v>203.8</v>
      </c>
      <c r="U462" s="19">
        <v>0</v>
      </c>
      <c r="V462" s="38">
        <v>0</v>
      </c>
      <c r="W462" s="108">
        <v>203.8</v>
      </c>
      <c r="X462" s="38">
        <v>0</v>
      </c>
      <c r="Y462" s="18">
        <f t="shared" si="378"/>
        <v>202.6</v>
      </c>
      <c r="Z462" s="19">
        <v>0</v>
      </c>
      <c r="AA462" s="38">
        <v>0</v>
      </c>
      <c r="AB462" s="19">
        <v>202.6</v>
      </c>
      <c r="AC462" s="38">
        <v>0</v>
      </c>
      <c r="AD462" s="18">
        <f t="shared" si="379"/>
        <v>203.4</v>
      </c>
      <c r="AE462" s="19">
        <v>0</v>
      </c>
      <c r="AF462" s="38">
        <v>0</v>
      </c>
      <c r="AG462" s="19">
        <v>203.4</v>
      </c>
      <c r="AH462" s="38">
        <v>0</v>
      </c>
      <c r="AI462" s="18">
        <f t="shared" si="380"/>
        <v>203.4</v>
      </c>
      <c r="AJ462" s="19">
        <v>0</v>
      </c>
      <c r="AK462" s="38">
        <v>0</v>
      </c>
      <c r="AL462" s="19">
        <v>203.4</v>
      </c>
      <c r="AM462" s="38">
        <v>0</v>
      </c>
    </row>
    <row r="463" spans="1:39" s="2" customFormat="1" ht="31.5" outlineLevel="2" x14ac:dyDescent="0.25">
      <c r="A463" s="8" t="s">
        <v>135</v>
      </c>
      <c r="B463" s="33" t="s">
        <v>56</v>
      </c>
      <c r="C463" s="26" t="s">
        <v>32</v>
      </c>
      <c r="D463" s="26" t="s">
        <v>118</v>
      </c>
      <c r="E463" s="20">
        <f t="shared" si="371"/>
        <v>819.5</v>
      </c>
      <c r="F463" s="38">
        <f t="shared" si="372"/>
        <v>0</v>
      </c>
      <c r="G463" s="38">
        <f t="shared" si="373"/>
        <v>0</v>
      </c>
      <c r="H463" s="38">
        <f t="shared" si="373"/>
        <v>819.5</v>
      </c>
      <c r="I463" s="38">
        <f t="shared" si="374"/>
        <v>0</v>
      </c>
      <c r="J463" s="18">
        <f t="shared" si="375"/>
        <v>142.1</v>
      </c>
      <c r="K463" s="19">
        <v>0</v>
      </c>
      <c r="L463" s="38">
        <v>0</v>
      </c>
      <c r="M463" s="19">
        <v>142.1</v>
      </c>
      <c r="N463" s="38">
        <v>0</v>
      </c>
      <c r="O463" s="18">
        <f t="shared" si="376"/>
        <v>138.5</v>
      </c>
      <c r="P463" s="19">
        <v>0</v>
      </c>
      <c r="Q463" s="38">
        <v>0</v>
      </c>
      <c r="R463" s="19">
        <v>138.5</v>
      </c>
      <c r="S463" s="38">
        <v>0</v>
      </c>
      <c r="T463" s="18">
        <f t="shared" si="377"/>
        <v>135</v>
      </c>
      <c r="U463" s="19">
        <v>0</v>
      </c>
      <c r="V463" s="38">
        <v>0</v>
      </c>
      <c r="W463" s="108">
        <v>135</v>
      </c>
      <c r="X463" s="38">
        <v>0</v>
      </c>
      <c r="Y463" s="18">
        <f t="shared" si="378"/>
        <v>134.30000000000001</v>
      </c>
      <c r="Z463" s="19">
        <v>0</v>
      </c>
      <c r="AA463" s="38">
        <v>0</v>
      </c>
      <c r="AB463" s="19">
        <v>134.30000000000001</v>
      </c>
      <c r="AC463" s="38">
        <v>0</v>
      </c>
      <c r="AD463" s="18">
        <f t="shared" si="379"/>
        <v>134.80000000000001</v>
      </c>
      <c r="AE463" s="19">
        <v>0</v>
      </c>
      <c r="AF463" s="38">
        <v>0</v>
      </c>
      <c r="AG463" s="19">
        <v>134.80000000000001</v>
      </c>
      <c r="AH463" s="38">
        <v>0</v>
      </c>
      <c r="AI463" s="18">
        <f t="shared" si="380"/>
        <v>134.80000000000001</v>
      </c>
      <c r="AJ463" s="19">
        <v>0</v>
      </c>
      <c r="AK463" s="38">
        <v>0</v>
      </c>
      <c r="AL463" s="19">
        <v>134.80000000000001</v>
      </c>
      <c r="AM463" s="38">
        <v>0</v>
      </c>
    </row>
    <row r="464" spans="1:39" s="2" customFormat="1" ht="31.5" outlineLevel="2" x14ac:dyDescent="0.25">
      <c r="A464" s="8" t="s">
        <v>136</v>
      </c>
      <c r="B464" s="33" t="s">
        <v>57</v>
      </c>
      <c r="C464" s="26" t="s">
        <v>32</v>
      </c>
      <c r="D464" s="26" t="s">
        <v>118</v>
      </c>
      <c r="E464" s="20">
        <f t="shared" si="371"/>
        <v>592.6</v>
      </c>
      <c r="F464" s="38">
        <f t="shared" si="372"/>
        <v>0</v>
      </c>
      <c r="G464" s="38">
        <f t="shared" si="373"/>
        <v>0</v>
      </c>
      <c r="H464" s="38">
        <f t="shared" si="373"/>
        <v>592.6</v>
      </c>
      <c r="I464" s="38">
        <f t="shared" si="374"/>
        <v>0</v>
      </c>
      <c r="J464" s="18">
        <f t="shared" si="375"/>
        <v>101.9</v>
      </c>
      <c r="K464" s="19">
        <v>0</v>
      </c>
      <c r="L464" s="38">
        <v>0</v>
      </c>
      <c r="M464" s="19">
        <v>101.9</v>
      </c>
      <c r="N464" s="38">
        <v>0</v>
      </c>
      <c r="O464" s="18">
        <f t="shared" si="376"/>
        <v>98.9</v>
      </c>
      <c r="P464" s="19">
        <v>0</v>
      </c>
      <c r="Q464" s="38">
        <v>0</v>
      </c>
      <c r="R464" s="19">
        <v>98.9</v>
      </c>
      <c r="S464" s="38">
        <v>0</v>
      </c>
      <c r="T464" s="18">
        <f t="shared" si="377"/>
        <v>98.2</v>
      </c>
      <c r="U464" s="19">
        <v>0</v>
      </c>
      <c r="V464" s="38">
        <v>0</v>
      </c>
      <c r="W464" s="108">
        <v>98.2</v>
      </c>
      <c r="X464" s="38">
        <v>0</v>
      </c>
      <c r="Y464" s="18">
        <f t="shared" si="378"/>
        <v>97.6</v>
      </c>
      <c r="Z464" s="19">
        <v>0</v>
      </c>
      <c r="AA464" s="38">
        <v>0</v>
      </c>
      <c r="AB464" s="19">
        <v>97.6</v>
      </c>
      <c r="AC464" s="38">
        <v>0</v>
      </c>
      <c r="AD464" s="18">
        <f t="shared" si="379"/>
        <v>98</v>
      </c>
      <c r="AE464" s="19">
        <v>0</v>
      </c>
      <c r="AF464" s="38">
        <v>0</v>
      </c>
      <c r="AG464" s="19">
        <v>98</v>
      </c>
      <c r="AH464" s="38">
        <v>0</v>
      </c>
      <c r="AI464" s="18">
        <f t="shared" si="380"/>
        <v>98</v>
      </c>
      <c r="AJ464" s="19">
        <v>0</v>
      </c>
      <c r="AK464" s="38">
        <v>0</v>
      </c>
      <c r="AL464" s="19">
        <v>98</v>
      </c>
      <c r="AM464" s="38">
        <v>0</v>
      </c>
    </row>
    <row r="465" spans="1:39" s="2" customFormat="1" ht="31.5" outlineLevel="2" x14ac:dyDescent="0.25">
      <c r="A465" s="8" t="s">
        <v>785</v>
      </c>
      <c r="B465" s="33" t="s">
        <v>58</v>
      </c>
      <c r="C465" s="26" t="s">
        <v>32</v>
      </c>
      <c r="D465" s="26" t="s">
        <v>118</v>
      </c>
      <c r="E465" s="20">
        <f t="shared" si="371"/>
        <v>1091.8</v>
      </c>
      <c r="F465" s="38">
        <f t="shared" si="372"/>
        <v>0</v>
      </c>
      <c r="G465" s="38">
        <f t="shared" si="373"/>
        <v>0</v>
      </c>
      <c r="H465" s="38">
        <f t="shared" si="373"/>
        <v>1091.8</v>
      </c>
      <c r="I465" s="38">
        <f t="shared" si="374"/>
        <v>0</v>
      </c>
      <c r="J465" s="18">
        <f t="shared" si="375"/>
        <v>181.7</v>
      </c>
      <c r="K465" s="19">
        <v>0</v>
      </c>
      <c r="L465" s="38">
        <v>0</v>
      </c>
      <c r="M465" s="19">
        <v>181.7</v>
      </c>
      <c r="N465" s="38">
        <v>0</v>
      </c>
      <c r="O465" s="18">
        <f t="shared" si="376"/>
        <v>184.1</v>
      </c>
      <c r="P465" s="19">
        <v>0</v>
      </c>
      <c r="Q465" s="38">
        <v>0</v>
      </c>
      <c r="R465" s="19">
        <v>184.1</v>
      </c>
      <c r="S465" s="38">
        <v>0</v>
      </c>
      <c r="T465" s="18">
        <f t="shared" si="377"/>
        <v>181.9</v>
      </c>
      <c r="U465" s="19">
        <v>0</v>
      </c>
      <c r="V465" s="38">
        <v>0</v>
      </c>
      <c r="W465" s="108">
        <v>181.9</v>
      </c>
      <c r="X465" s="38">
        <v>0</v>
      </c>
      <c r="Y465" s="18">
        <f t="shared" si="378"/>
        <v>180.9</v>
      </c>
      <c r="Z465" s="19">
        <v>0</v>
      </c>
      <c r="AA465" s="38">
        <v>0</v>
      </c>
      <c r="AB465" s="19">
        <v>180.9</v>
      </c>
      <c r="AC465" s="38">
        <v>0</v>
      </c>
      <c r="AD465" s="18">
        <f t="shared" si="379"/>
        <v>181.6</v>
      </c>
      <c r="AE465" s="19">
        <v>0</v>
      </c>
      <c r="AF465" s="38">
        <v>0</v>
      </c>
      <c r="AG465" s="19">
        <v>181.6</v>
      </c>
      <c r="AH465" s="38">
        <v>0</v>
      </c>
      <c r="AI465" s="18">
        <f t="shared" si="380"/>
        <v>181.6</v>
      </c>
      <c r="AJ465" s="19">
        <v>0</v>
      </c>
      <c r="AK465" s="38">
        <v>0</v>
      </c>
      <c r="AL465" s="19">
        <v>181.6</v>
      </c>
      <c r="AM465" s="38">
        <v>0</v>
      </c>
    </row>
    <row r="466" spans="1:39" ht="42.75" customHeight="1" outlineLevel="1" x14ac:dyDescent="0.25">
      <c r="A466" s="56" t="s">
        <v>304</v>
      </c>
      <c r="B466" s="171" t="s">
        <v>736</v>
      </c>
      <c r="C466" s="172"/>
      <c r="D466" s="172"/>
      <c r="E466" s="12">
        <f>SUM(E467:F470)</f>
        <v>3320.9</v>
      </c>
      <c r="F466" s="12">
        <f>SUM(F467:F470)</f>
        <v>0</v>
      </c>
      <c r="G466" s="12">
        <f>SUM(G467:G470)</f>
        <v>0</v>
      </c>
      <c r="H466" s="12">
        <f>SUM(H467:H470)</f>
        <v>3320.9</v>
      </c>
      <c r="I466" s="12">
        <f>SUM(I467:I470)</f>
        <v>0</v>
      </c>
      <c r="J466" s="12">
        <f>SUM(J467:J470)</f>
        <v>1380.4</v>
      </c>
      <c r="K466" s="12">
        <f t="shared" ref="K466:W466" si="382">SUM(K467:K470)</f>
        <v>0</v>
      </c>
      <c r="L466" s="12">
        <f t="shared" si="382"/>
        <v>0</v>
      </c>
      <c r="M466" s="12">
        <f t="shared" si="382"/>
        <v>1380.4</v>
      </c>
      <c r="N466" s="12">
        <f t="shared" si="382"/>
        <v>0</v>
      </c>
      <c r="O466" s="12">
        <f t="shared" si="382"/>
        <v>1940.5</v>
      </c>
      <c r="P466" s="12">
        <f t="shared" si="382"/>
        <v>0</v>
      </c>
      <c r="Q466" s="12">
        <f t="shared" si="382"/>
        <v>0</v>
      </c>
      <c r="R466" s="12">
        <f>SUM(R467:R470)</f>
        <v>1940.5</v>
      </c>
      <c r="S466" s="12">
        <f t="shared" si="382"/>
        <v>0</v>
      </c>
      <c r="T466" s="12">
        <f t="shared" si="382"/>
        <v>0</v>
      </c>
      <c r="U466" s="12">
        <f t="shared" si="382"/>
        <v>0</v>
      </c>
      <c r="V466" s="12">
        <f t="shared" si="382"/>
        <v>0</v>
      </c>
      <c r="W466" s="12">
        <f t="shared" si="382"/>
        <v>0</v>
      </c>
      <c r="X466" s="12">
        <f>SUM(X467:X470)</f>
        <v>0</v>
      </c>
      <c r="Y466" s="12">
        <f t="shared" ref="Y466:AM466" si="383">SUM(Y467:Y470)</f>
        <v>0</v>
      </c>
      <c r="Z466" s="12">
        <f t="shared" si="383"/>
        <v>0</v>
      </c>
      <c r="AA466" s="12">
        <f t="shared" si="383"/>
        <v>0</v>
      </c>
      <c r="AB466" s="12">
        <f t="shared" si="383"/>
        <v>0</v>
      </c>
      <c r="AC466" s="12">
        <f t="shared" si="383"/>
        <v>0</v>
      </c>
      <c r="AD466" s="12">
        <f t="shared" si="383"/>
        <v>0</v>
      </c>
      <c r="AE466" s="12">
        <f t="shared" si="383"/>
        <v>0</v>
      </c>
      <c r="AF466" s="12">
        <f t="shared" si="383"/>
        <v>0</v>
      </c>
      <c r="AG466" s="12">
        <f>SUM(AG467:AG470)</f>
        <v>0</v>
      </c>
      <c r="AH466" s="12">
        <f t="shared" si="383"/>
        <v>0</v>
      </c>
      <c r="AI466" s="12">
        <f t="shared" si="383"/>
        <v>0</v>
      </c>
      <c r="AJ466" s="12">
        <f t="shared" si="383"/>
        <v>0</v>
      </c>
      <c r="AK466" s="12">
        <f t="shared" si="383"/>
        <v>0</v>
      </c>
      <c r="AL466" s="12">
        <f t="shared" si="383"/>
        <v>0</v>
      </c>
      <c r="AM466" s="12">
        <f t="shared" si="383"/>
        <v>0</v>
      </c>
    </row>
    <row r="467" spans="1:39" ht="31.5" outlineLevel="2" x14ac:dyDescent="0.25">
      <c r="A467" s="16" t="s">
        <v>305</v>
      </c>
      <c r="B467" s="7" t="s">
        <v>54</v>
      </c>
      <c r="C467" s="26" t="s">
        <v>32</v>
      </c>
      <c r="D467" s="26" t="s">
        <v>118</v>
      </c>
      <c r="E467" s="12">
        <f>G467+H467+I467</f>
        <v>840.7</v>
      </c>
      <c r="F467" s="13">
        <v>0</v>
      </c>
      <c r="G467" s="38">
        <f t="shared" ref="G467:I469" si="384">L467+Q467+V467+AA467+AF467+AK467</f>
        <v>0</v>
      </c>
      <c r="H467" s="38">
        <f t="shared" si="384"/>
        <v>840.7</v>
      </c>
      <c r="I467" s="38">
        <f t="shared" si="384"/>
        <v>0</v>
      </c>
      <c r="J467" s="12">
        <f>L467+M467+N467</f>
        <v>840.7</v>
      </c>
      <c r="K467" s="13">
        <v>0</v>
      </c>
      <c r="L467" s="13">
        <v>0</v>
      </c>
      <c r="M467" s="13">
        <v>840.7</v>
      </c>
      <c r="N467" s="13">
        <v>0</v>
      </c>
      <c r="O467" s="12">
        <f>Q467+R467+S467</f>
        <v>0</v>
      </c>
      <c r="P467" s="13">
        <v>0</v>
      </c>
      <c r="Q467" s="13">
        <v>0</v>
      </c>
      <c r="R467" s="13">
        <v>0</v>
      </c>
      <c r="S467" s="13">
        <v>0</v>
      </c>
      <c r="T467" s="12">
        <f>V467+W467+X467</f>
        <v>0</v>
      </c>
      <c r="U467" s="13">
        <v>0</v>
      </c>
      <c r="V467" s="13">
        <v>0</v>
      </c>
      <c r="W467" s="13">
        <v>0</v>
      </c>
      <c r="X467" s="13">
        <v>0</v>
      </c>
      <c r="Y467" s="12">
        <f>AA467+AB467+AC467</f>
        <v>0</v>
      </c>
      <c r="Z467" s="13">
        <v>0</v>
      </c>
      <c r="AA467" s="13">
        <v>0</v>
      </c>
      <c r="AB467" s="13">
        <v>0</v>
      </c>
      <c r="AC467" s="13">
        <v>0</v>
      </c>
      <c r="AD467" s="12">
        <f>AF467+AG467+AH467</f>
        <v>0</v>
      </c>
      <c r="AE467" s="13">
        <v>0</v>
      </c>
      <c r="AF467" s="13">
        <v>0</v>
      </c>
      <c r="AG467" s="13">
        <v>0</v>
      </c>
      <c r="AH467" s="13">
        <v>0</v>
      </c>
      <c r="AI467" s="12">
        <f>AK467+AL467+AM467</f>
        <v>0</v>
      </c>
      <c r="AJ467" s="13">
        <v>0</v>
      </c>
      <c r="AK467" s="13">
        <v>0</v>
      </c>
      <c r="AL467" s="13">
        <v>0</v>
      </c>
      <c r="AM467" s="13">
        <v>0</v>
      </c>
    </row>
    <row r="468" spans="1:39" ht="31.5" outlineLevel="2" x14ac:dyDescent="0.25">
      <c r="A468" s="16" t="s">
        <v>381</v>
      </c>
      <c r="B468" s="7" t="s">
        <v>53</v>
      </c>
      <c r="C468" s="26" t="s">
        <v>32</v>
      </c>
      <c r="D468" s="26" t="s">
        <v>118</v>
      </c>
      <c r="E468" s="12">
        <f>G468+H468+I468</f>
        <v>555.20000000000005</v>
      </c>
      <c r="F468" s="13">
        <v>0</v>
      </c>
      <c r="G468" s="38">
        <f t="shared" si="384"/>
        <v>0</v>
      </c>
      <c r="H468" s="38">
        <f t="shared" si="384"/>
        <v>555.20000000000005</v>
      </c>
      <c r="I468" s="38">
        <f t="shared" si="384"/>
        <v>0</v>
      </c>
      <c r="J468" s="12">
        <f>L468+M468+N468</f>
        <v>539.70000000000005</v>
      </c>
      <c r="K468" s="13">
        <v>0</v>
      </c>
      <c r="L468" s="13">
        <v>0</v>
      </c>
      <c r="M468" s="13">
        <v>539.70000000000005</v>
      </c>
      <c r="N468" s="13">
        <v>0</v>
      </c>
      <c r="O468" s="12">
        <f>Q468+R468+S468</f>
        <v>15.5</v>
      </c>
      <c r="P468" s="13">
        <v>0</v>
      </c>
      <c r="Q468" s="13">
        <v>0</v>
      </c>
      <c r="R468" s="13">
        <v>15.5</v>
      </c>
      <c r="S468" s="13">
        <v>0</v>
      </c>
      <c r="T468" s="12">
        <f>V468+W468+X468</f>
        <v>0</v>
      </c>
      <c r="U468" s="13">
        <v>0</v>
      </c>
      <c r="V468" s="13">
        <v>0</v>
      </c>
      <c r="W468" s="13">
        <v>0</v>
      </c>
      <c r="X468" s="13">
        <v>0</v>
      </c>
      <c r="Y468" s="12">
        <f>AA468+AB468+AC468</f>
        <v>0</v>
      </c>
      <c r="Z468" s="13">
        <v>0</v>
      </c>
      <c r="AA468" s="13">
        <v>0</v>
      </c>
      <c r="AB468" s="13">
        <v>0</v>
      </c>
      <c r="AC468" s="13">
        <v>0</v>
      </c>
      <c r="AD468" s="12">
        <f>AF468+AG468+AH468</f>
        <v>0</v>
      </c>
      <c r="AE468" s="13">
        <v>0</v>
      </c>
      <c r="AF468" s="13">
        <v>0</v>
      </c>
      <c r="AG468" s="13">
        <v>0</v>
      </c>
      <c r="AH468" s="13">
        <v>0</v>
      </c>
      <c r="AI468" s="12">
        <f>AK468+AL468+AM468</f>
        <v>0</v>
      </c>
      <c r="AJ468" s="13">
        <v>0</v>
      </c>
      <c r="AK468" s="13">
        <v>0</v>
      </c>
      <c r="AL468" s="13">
        <v>0</v>
      </c>
      <c r="AM468" s="13">
        <v>0</v>
      </c>
    </row>
    <row r="469" spans="1:39" ht="31.5" outlineLevel="2" x14ac:dyDescent="0.25">
      <c r="A469" s="16" t="s">
        <v>424</v>
      </c>
      <c r="B469" s="57" t="s">
        <v>61</v>
      </c>
      <c r="C469" s="26" t="s">
        <v>32</v>
      </c>
      <c r="D469" s="26" t="s">
        <v>118</v>
      </c>
      <c r="E469" s="12">
        <f>G469+H469+I469</f>
        <v>1417.1000000000001</v>
      </c>
      <c r="F469" s="13">
        <v>0</v>
      </c>
      <c r="G469" s="38">
        <f t="shared" si="384"/>
        <v>0</v>
      </c>
      <c r="H469" s="38">
        <f t="shared" si="384"/>
        <v>1417.1000000000001</v>
      </c>
      <c r="I469" s="38">
        <f t="shared" si="384"/>
        <v>0</v>
      </c>
      <c r="J469" s="12">
        <f>L469+M469+N469</f>
        <v>0</v>
      </c>
      <c r="K469" s="13">
        <v>0</v>
      </c>
      <c r="L469" s="13">
        <v>0</v>
      </c>
      <c r="M469" s="13">
        <v>0</v>
      </c>
      <c r="N469" s="13">
        <v>0</v>
      </c>
      <c r="O469" s="12">
        <f>Q469+R469+S469</f>
        <v>1417.1000000000001</v>
      </c>
      <c r="P469" s="13">
        <v>0</v>
      </c>
      <c r="Q469" s="13">
        <v>0</v>
      </c>
      <c r="R469" s="13">
        <f>1531.9-114.8</f>
        <v>1417.1000000000001</v>
      </c>
      <c r="S469" s="13">
        <v>0</v>
      </c>
      <c r="T469" s="12">
        <f>V469+W469+X469</f>
        <v>0</v>
      </c>
      <c r="U469" s="13">
        <v>0</v>
      </c>
      <c r="V469" s="13">
        <v>0</v>
      </c>
      <c r="W469" s="13">
        <v>0</v>
      </c>
      <c r="X469" s="13">
        <v>0</v>
      </c>
      <c r="Y469" s="12">
        <f>AA469+AB469+AC469</f>
        <v>0</v>
      </c>
      <c r="Z469" s="13">
        <v>0</v>
      </c>
      <c r="AA469" s="13">
        <v>0</v>
      </c>
      <c r="AB469" s="13">
        <v>0</v>
      </c>
      <c r="AC469" s="13">
        <v>0</v>
      </c>
      <c r="AD469" s="12">
        <f>AF469+AG469+AH469</f>
        <v>0</v>
      </c>
      <c r="AE469" s="13">
        <v>0</v>
      </c>
      <c r="AF469" s="13">
        <v>0</v>
      </c>
      <c r="AG469" s="13">
        <v>0</v>
      </c>
      <c r="AH469" s="13">
        <v>0</v>
      </c>
      <c r="AI469" s="12">
        <f>AK469+AL469+AM469</f>
        <v>0</v>
      </c>
      <c r="AJ469" s="13">
        <v>0</v>
      </c>
      <c r="AK469" s="13">
        <v>0</v>
      </c>
      <c r="AL469" s="13">
        <v>0</v>
      </c>
      <c r="AM469" s="13">
        <v>0</v>
      </c>
    </row>
    <row r="470" spans="1:39" ht="31.5" outlineLevel="2" x14ac:dyDescent="0.25">
      <c r="A470" s="16" t="s">
        <v>729</v>
      </c>
      <c r="B470" s="57" t="s">
        <v>49</v>
      </c>
      <c r="C470" s="26" t="s">
        <v>32</v>
      </c>
      <c r="D470" s="26" t="s">
        <v>118</v>
      </c>
      <c r="E470" s="12">
        <f>G470+H470+I470</f>
        <v>507.9</v>
      </c>
      <c r="F470" s="13">
        <v>0</v>
      </c>
      <c r="G470" s="38">
        <f>L470+Q470+V470+AA470+AF470+AK470</f>
        <v>0</v>
      </c>
      <c r="H470" s="38">
        <f>M470+R470+W470+AB470+AG470+AL470</f>
        <v>507.9</v>
      </c>
      <c r="I470" s="38">
        <f>N470+S470+X470+AC470+AH470+AM470</f>
        <v>0</v>
      </c>
      <c r="J470" s="12">
        <f>L470+M470+N470</f>
        <v>0</v>
      </c>
      <c r="K470" s="13">
        <v>0</v>
      </c>
      <c r="L470" s="13">
        <v>0</v>
      </c>
      <c r="M470" s="13">
        <v>0</v>
      </c>
      <c r="N470" s="13">
        <v>0</v>
      </c>
      <c r="O470" s="12">
        <f>Q470+R470+S470</f>
        <v>507.9</v>
      </c>
      <c r="P470" s="13">
        <v>0</v>
      </c>
      <c r="Q470" s="13">
        <v>0</v>
      </c>
      <c r="R470" s="13">
        <v>507.9</v>
      </c>
      <c r="S470" s="13">
        <v>0</v>
      </c>
      <c r="T470" s="12">
        <f>V470+W470+X470</f>
        <v>0</v>
      </c>
      <c r="U470" s="13">
        <v>0</v>
      </c>
      <c r="V470" s="13">
        <v>0</v>
      </c>
      <c r="W470" s="13">
        <v>0</v>
      </c>
      <c r="X470" s="13">
        <v>0</v>
      </c>
      <c r="Y470" s="12">
        <f>AA470+AB470+AC470</f>
        <v>0</v>
      </c>
      <c r="Z470" s="13">
        <v>0</v>
      </c>
      <c r="AA470" s="13">
        <v>0</v>
      </c>
      <c r="AB470" s="13">
        <v>0</v>
      </c>
      <c r="AC470" s="13">
        <v>0</v>
      </c>
      <c r="AD470" s="12">
        <f>AF470+AG470+AH470</f>
        <v>0</v>
      </c>
      <c r="AE470" s="13">
        <v>0</v>
      </c>
      <c r="AF470" s="13">
        <v>0</v>
      </c>
      <c r="AG470" s="13">
        <v>0</v>
      </c>
      <c r="AH470" s="13">
        <v>0</v>
      </c>
      <c r="AI470" s="12">
        <f>AK470+AL470+AM470</f>
        <v>0</v>
      </c>
      <c r="AJ470" s="13">
        <v>0</v>
      </c>
      <c r="AK470" s="13">
        <v>0</v>
      </c>
      <c r="AL470" s="13">
        <v>0</v>
      </c>
      <c r="AM470" s="13">
        <v>0</v>
      </c>
    </row>
    <row r="471" spans="1:39" ht="46.5" customHeight="1" outlineLevel="1" x14ac:dyDescent="0.25">
      <c r="A471" s="56" t="s">
        <v>325</v>
      </c>
      <c r="B471" s="171" t="s">
        <v>326</v>
      </c>
      <c r="C471" s="172"/>
      <c r="D471" s="172"/>
      <c r="E471" s="12">
        <f>SUM(E472:E474)</f>
        <v>18056.099999999999</v>
      </c>
      <c r="F471" s="12">
        <f t="shared" ref="F471:AM471" si="385">SUM(F472:F474)</f>
        <v>0</v>
      </c>
      <c r="G471" s="12">
        <f t="shared" si="385"/>
        <v>0</v>
      </c>
      <c r="H471" s="12">
        <f t="shared" si="385"/>
        <v>18053.099999999999</v>
      </c>
      <c r="I471" s="12">
        <f t="shared" si="385"/>
        <v>3.0000000000000004</v>
      </c>
      <c r="J471" s="12">
        <f t="shared" si="385"/>
        <v>4476.1000000000004</v>
      </c>
      <c r="K471" s="12">
        <f t="shared" si="385"/>
        <v>0</v>
      </c>
      <c r="L471" s="12">
        <f t="shared" si="385"/>
        <v>0</v>
      </c>
      <c r="M471" s="12">
        <f t="shared" si="385"/>
        <v>4473.1000000000004</v>
      </c>
      <c r="N471" s="12">
        <f t="shared" si="385"/>
        <v>3.0000000000000004</v>
      </c>
      <c r="O471" s="12">
        <f t="shared" si="385"/>
        <v>13580</v>
      </c>
      <c r="P471" s="12">
        <f t="shared" si="385"/>
        <v>0</v>
      </c>
      <c r="Q471" s="12">
        <f t="shared" si="385"/>
        <v>0</v>
      </c>
      <c r="R471" s="12">
        <f t="shared" si="385"/>
        <v>13580</v>
      </c>
      <c r="S471" s="12">
        <f t="shared" si="385"/>
        <v>0</v>
      </c>
      <c r="T471" s="12">
        <f>SUM(T472:T474)</f>
        <v>0</v>
      </c>
      <c r="U471" s="12">
        <f t="shared" si="385"/>
        <v>0</v>
      </c>
      <c r="V471" s="12">
        <f t="shared" si="385"/>
        <v>0</v>
      </c>
      <c r="W471" s="12">
        <f t="shared" si="385"/>
        <v>0</v>
      </c>
      <c r="X471" s="12">
        <f t="shared" si="385"/>
        <v>0</v>
      </c>
      <c r="Y471" s="12">
        <f t="shared" si="385"/>
        <v>0</v>
      </c>
      <c r="Z471" s="12">
        <f t="shared" si="385"/>
        <v>0</v>
      </c>
      <c r="AA471" s="12">
        <f t="shared" si="385"/>
        <v>0</v>
      </c>
      <c r="AB471" s="12">
        <f t="shared" si="385"/>
        <v>0</v>
      </c>
      <c r="AC471" s="12">
        <f t="shared" si="385"/>
        <v>0</v>
      </c>
      <c r="AD471" s="12">
        <f t="shared" si="385"/>
        <v>0</v>
      </c>
      <c r="AE471" s="12">
        <f t="shared" si="385"/>
        <v>0</v>
      </c>
      <c r="AF471" s="12">
        <f t="shared" si="385"/>
        <v>0</v>
      </c>
      <c r="AG471" s="12">
        <f>SUM(AG472:AG474)</f>
        <v>0</v>
      </c>
      <c r="AH471" s="12">
        <f t="shared" si="385"/>
        <v>0</v>
      </c>
      <c r="AI471" s="12">
        <f t="shared" si="385"/>
        <v>0</v>
      </c>
      <c r="AJ471" s="12">
        <f t="shared" si="385"/>
        <v>0</v>
      </c>
      <c r="AK471" s="12">
        <f t="shared" si="385"/>
        <v>0</v>
      </c>
      <c r="AL471" s="12">
        <f t="shared" si="385"/>
        <v>0</v>
      </c>
      <c r="AM471" s="12">
        <f t="shared" si="385"/>
        <v>0</v>
      </c>
    </row>
    <row r="472" spans="1:39" ht="47.25" outlineLevel="2" x14ac:dyDescent="0.25">
      <c r="A472" s="16" t="s">
        <v>327</v>
      </c>
      <c r="B472" s="6" t="s">
        <v>328</v>
      </c>
      <c r="C472" s="26" t="s">
        <v>32</v>
      </c>
      <c r="D472" s="26" t="s">
        <v>32</v>
      </c>
      <c r="E472" s="20">
        <f>SUM(F472:I472)</f>
        <v>4179.5</v>
      </c>
      <c r="F472" s="38">
        <f t="shared" ref="F472:I476" si="386">K472+P472+U472+Z472+AE472+AJ472</f>
        <v>0</v>
      </c>
      <c r="G472" s="38">
        <f t="shared" si="386"/>
        <v>0</v>
      </c>
      <c r="H472" s="38">
        <f t="shared" si="386"/>
        <v>4179.5</v>
      </c>
      <c r="I472" s="38">
        <f t="shared" si="386"/>
        <v>0</v>
      </c>
      <c r="J472" s="12">
        <f>L472+M472+N472</f>
        <v>4179.5</v>
      </c>
      <c r="K472" s="13">
        <v>0</v>
      </c>
      <c r="L472" s="38">
        <v>0</v>
      </c>
      <c r="M472" s="13">
        <v>4179.5</v>
      </c>
      <c r="N472" s="13">
        <v>0</v>
      </c>
      <c r="O472" s="12">
        <f>Q472+R472+S472</f>
        <v>0</v>
      </c>
      <c r="P472" s="13">
        <v>0</v>
      </c>
      <c r="Q472" s="13">
        <v>0</v>
      </c>
      <c r="R472" s="13">
        <v>0</v>
      </c>
      <c r="S472" s="13">
        <v>0</v>
      </c>
      <c r="T472" s="12">
        <f>V472+W472+X472</f>
        <v>0</v>
      </c>
      <c r="U472" s="13">
        <v>0</v>
      </c>
      <c r="V472" s="13">
        <v>0</v>
      </c>
      <c r="W472" s="13">
        <v>0</v>
      </c>
      <c r="X472" s="13">
        <v>0</v>
      </c>
      <c r="Y472" s="12">
        <f>AA472+AB472+AC472</f>
        <v>0</v>
      </c>
      <c r="Z472" s="13">
        <v>0</v>
      </c>
      <c r="AA472" s="13">
        <v>0</v>
      </c>
      <c r="AB472" s="13">
        <v>0</v>
      </c>
      <c r="AC472" s="13">
        <v>0</v>
      </c>
      <c r="AD472" s="12">
        <f>AF472+AG472+AH472</f>
        <v>0</v>
      </c>
      <c r="AE472" s="13">
        <v>0</v>
      </c>
      <c r="AF472" s="13">
        <v>0</v>
      </c>
      <c r="AG472" s="13">
        <v>0</v>
      </c>
      <c r="AH472" s="13">
        <v>0</v>
      </c>
      <c r="AI472" s="12">
        <f>AK472+AL472+AM472</f>
        <v>0</v>
      </c>
      <c r="AJ472" s="13">
        <v>0</v>
      </c>
      <c r="AK472" s="13">
        <v>0</v>
      </c>
      <c r="AL472" s="13">
        <v>0</v>
      </c>
      <c r="AM472" s="13">
        <v>0</v>
      </c>
    </row>
    <row r="473" spans="1:39" ht="47.25" outlineLevel="2" x14ac:dyDescent="0.25">
      <c r="A473" s="16" t="s">
        <v>380</v>
      </c>
      <c r="B473" s="6" t="s">
        <v>465</v>
      </c>
      <c r="C473" s="26" t="s">
        <v>32</v>
      </c>
      <c r="D473" s="26" t="s">
        <v>41</v>
      </c>
      <c r="E473" s="20">
        <f>SUM(F473:I473)</f>
        <v>296.60000000000002</v>
      </c>
      <c r="F473" s="38">
        <f>K473+P473+U473+Z473+AE473+AJ473</f>
        <v>0</v>
      </c>
      <c r="G473" s="38">
        <f>L473+Q473+V473+AA473+AF473+AK473</f>
        <v>0</v>
      </c>
      <c r="H473" s="38">
        <f>M473+R473+W473+AB473+AG473+AL473</f>
        <v>293.60000000000002</v>
      </c>
      <c r="I473" s="38">
        <f>N473+S473+X473+AC473+AH473+AM473</f>
        <v>3.0000000000000004</v>
      </c>
      <c r="J473" s="12">
        <f>L473+M473+N473</f>
        <v>296.60000000000002</v>
      </c>
      <c r="K473" s="13">
        <v>0</v>
      </c>
      <c r="L473" s="38">
        <v>0</v>
      </c>
      <c r="M473" s="13">
        <f>434.2-140.6</f>
        <v>293.60000000000002</v>
      </c>
      <c r="N473" s="13">
        <f>4.4-1.4</f>
        <v>3.0000000000000004</v>
      </c>
      <c r="O473" s="12">
        <f>Q473+R473+S473</f>
        <v>0</v>
      </c>
      <c r="P473" s="13">
        <v>0</v>
      </c>
      <c r="Q473" s="13">
        <v>0</v>
      </c>
      <c r="R473" s="13">
        <v>0</v>
      </c>
      <c r="S473" s="13">
        <v>0</v>
      </c>
      <c r="T473" s="12">
        <f>V473+W473+X473</f>
        <v>0</v>
      </c>
      <c r="U473" s="13">
        <v>0</v>
      </c>
      <c r="V473" s="13">
        <v>0</v>
      </c>
      <c r="W473" s="13">
        <v>0</v>
      </c>
      <c r="X473" s="13">
        <v>0</v>
      </c>
      <c r="Y473" s="12">
        <f>AA473+AB473+AC473</f>
        <v>0</v>
      </c>
      <c r="Z473" s="13">
        <v>0</v>
      </c>
      <c r="AA473" s="13">
        <v>0</v>
      </c>
      <c r="AB473" s="13">
        <v>0</v>
      </c>
      <c r="AC473" s="13">
        <v>0</v>
      </c>
      <c r="AD473" s="12">
        <f>AF473+AG473+AH473</f>
        <v>0</v>
      </c>
      <c r="AE473" s="13">
        <v>0</v>
      </c>
      <c r="AF473" s="13">
        <v>0</v>
      </c>
      <c r="AG473" s="13">
        <v>0</v>
      </c>
      <c r="AH473" s="13">
        <v>0</v>
      </c>
      <c r="AI473" s="12">
        <f>AK473+AL473+AM473</f>
        <v>0</v>
      </c>
      <c r="AJ473" s="13">
        <v>0</v>
      </c>
      <c r="AK473" s="13">
        <v>0</v>
      </c>
      <c r="AL473" s="13">
        <v>0</v>
      </c>
      <c r="AM473" s="13">
        <v>0</v>
      </c>
    </row>
    <row r="474" spans="1:39" ht="47.25" outlineLevel="2" x14ac:dyDescent="0.25">
      <c r="A474" s="16" t="s">
        <v>458</v>
      </c>
      <c r="B474" s="6" t="s">
        <v>459</v>
      </c>
      <c r="C474" s="26" t="s">
        <v>32</v>
      </c>
      <c r="D474" s="26" t="s">
        <v>32</v>
      </c>
      <c r="E474" s="20">
        <f>SUM(F474:I474)</f>
        <v>13580</v>
      </c>
      <c r="F474" s="38">
        <f t="shared" si="386"/>
        <v>0</v>
      </c>
      <c r="G474" s="38">
        <f t="shared" si="386"/>
        <v>0</v>
      </c>
      <c r="H474" s="38">
        <f t="shared" si="386"/>
        <v>13580</v>
      </c>
      <c r="I474" s="38">
        <f t="shared" si="386"/>
        <v>0</v>
      </c>
      <c r="J474" s="12">
        <f>L474+M474+N474</f>
        <v>0</v>
      </c>
      <c r="K474" s="13">
        <v>0</v>
      </c>
      <c r="L474" s="38">
        <v>0</v>
      </c>
      <c r="M474" s="13">
        <v>0</v>
      </c>
      <c r="N474" s="13">
        <v>0</v>
      </c>
      <c r="O474" s="12">
        <f>Q474+R474+S474</f>
        <v>13580</v>
      </c>
      <c r="P474" s="13">
        <v>0</v>
      </c>
      <c r="Q474" s="13">
        <v>0</v>
      </c>
      <c r="R474" s="13">
        <f>13107.1+872-399.1</f>
        <v>13580</v>
      </c>
      <c r="S474" s="13">
        <v>0</v>
      </c>
      <c r="T474" s="12">
        <f>V474+W474+X474</f>
        <v>0</v>
      </c>
      <c r="U474" s="13">
        <v>0</v>
      </c>
      <c r="V474" s="13">
        <v>0</v>
      </c>
      <c r="W474" s="13">
        <v>0</v>
      </c>
      <c r="X474" s="13">
        <v>0</v>
      </c>
      <c r="Y474" s="12">
        <f>AA474+AB474+AC474</f>
        <v>0</v>
      </c>
      <c r="Z474" s="13">
        <v>0</v>
      </c>
      <c r="AA474" s="13">
        <v>0</v>
      </c>
      <c r="AB474" s="13">
        <v>0</v>
      </c>
      <c r="AC474" s="13">
        <v>0</v>
      </c>
      <c r="AD474" s="12">
        <f>AF474+AG474+AH474</f>
        <v>0</v>
      </c>
      <c r="AE474" s="13">
        <v>0</v>
      </c>
      <c r="AF474" s="13">
        <v>0</v>
      </c>
      <c r="AG474" s="13">
        <v>0</v>
      </c>
      <c r="AH474" s="13">
        <v>0</v>
      </c>
      <c r="AI474" s="12">
        <f>AK474+AL474+AM474</f>
        <v>0</v>
      </c>
      <c r="AJ474" s="13">
        <v>0</v>
      </c>
      <c r="AK474" s="13">
        <v>0</v>
      </c>
      <c r="AL474" s="13">
        <v>0</v>
      </c>
      <c r="AM474" s="13">
        <v>0</v>
      </c>
    </row>
    <row r="475" spans="1:39" ht="25.5" customHeight="1" outlineLevel="1" x14ac:dyDescent="0.25">
      <c r="A475" s="56" t="s">
        <v>438</v>
      </c>
      <c r="B475" s="171" t="s">
        <v>441</v>
      </c>
      <c r="C475" s="172"/>
      <c r="D475" s="172"/>
      <c r="E475" s="12">
        <f>SUM(E476:E477)</f>
        <v>27365</v>
      </c>
      <c r="F475" s="12">
        <f t="shared" ref="F475:AM475" si="387">SUM(F476:F477)</f>
        <v>0</v>
      </c>
      <c r="G475" s="12">
        <f t="shared" si="387"/>
        <v>0</v>
      </c>
      <c r="H475" s="12">
        <f t="shared" si="387"/>
        <v>27365</v>
      </c>
      <c r="I475" s="12">
        <f t="shared" si="387"/>
        <v>0</v>
      </c>
      <c r="J475" s="12">
        <f t="shared" si="387"/>
        <v>0</v>
      </c>
      <c r="K475" s="12">
        <f t="shared" si="387"/>
        <v>0</v>
      </c>
      <c r="L475" s="12">
        <f t="shared" si="387"/>
        <v>0</v>
      </c>
      <c r="M475" s="12">
        <f t="shared" si="387"/>
        <v>0</v>
      </c>
      <c r="N475" s="12">
        <f t="shared" si="387"/>
        <v>0</v>
      </c>
      <c r="O475" s="12">
        <f t="shared" si="387"/>
        <v>9365</v>
      </c>
      <c r="P475" s="12">
        <f t="shared" si="387"/>
        <v>0</v>
      </c>
      <c r="Q475" s="12">
        <f t="shared" si="387"/>
        <v>0</v>
      </c>
      <c r="R475" s="12">
        <f t="shared" si="387"/>
        <v>9365</v>
      </c>
      <c r="S475" s="12">
        <f t="shared" si="387"/>
        <v>0</v>
      </c>
      <c r="T475" s="12">
        <f>SUM(T476:T477)</f>
        <v>18000</v>
      </c>
      <c r="U475" s="12">
        <f t="shared" si="387"/>
        <v>0</v>
      </c>
      <c r="V475" s="12">
        <f t="shared" si="387"/>
        <v>0</v>
      </c>
      <c r="W475" s="12">
        <f t="shared" si="387"/>
        <v>18000</v>
      </c>
      <c r="X475" s="12">
        <f t="shared" si="387"/>
        <v>0</v>
      </c>
      <c r="Y475" s="12">
        <f t="shared" si="387"/>
        <v>0</v>
      </c>
      <c r="Z475" s="12">
        <f t="shared" si="387"/>
        <v>0</v>
      </c>
      <c r="AA475" s="12">
        <f t="shared" si="387"/>
        <v>0</v>
      </c>
      <c r="AB475" s="12">
        <f t="shared" si="387"/>
        <v>0</v>
      </c>
      <c r="AC475" s="12">
        <f t="shared" si="387"/>
        <v>0</v>
      </c>
      <c r="AD475" s="12">
        <f t="shared" si="387"/>
        <v>0</v>
      </c>
      <c r="AE475" s="12">
        <f t="shared" si="387"/>
        <v>0</v>
      </c>
      <c r="AF475" s="12">
        <f t="shared" si="387"/>
        <v>0</v>
      </c>
      <c r="AG475" s="12">
        <f>SUM(AG476:AG477)</f>
        <v>0</v>
      </c>
      <c r="AH475" s="12">
        <f t="shared" si="387"/>
        <v>0</v>
      </c>
      <c r="AI475" s="12">
        <f t="shared" si="387"/>
        <v>0</v>
      </c>
      <c r="AJ475" s="12">
        <f t="shared" si="387"/>
        <v>0</v>
      </c>
      <c r="AK475" s="12">
        <f t="shared" si="387"/>
        <v>0</v>
      </c>
      <c r="AL475" s="12">
        <f t="shared" si="387"/>
        <v>0</v>
      </c>
      <c r="AM475" s="12">
        <f t="shared" si="387"/>
        <v>0</v>
      </c>
    </row>
    <row r="476" spans="1:39" ht="47.25" outlineLevel="2" x14ac:dyDescent="0.25">
      <c r="A476" s="16" t="s">
        <v>439</v>
      </c>
      <c r="B476" s="6" t="s">
        <v>440</v>
      </c>
      <c r="C476" s="26" t="s">
        <v>32</v>
      </c>
      <c r="D476" s="26" t="s">
        <v>32</v>
      </c>
      <c r="E476" s="20">
        <f>SUM(F476:I476)</f>
        <v>9365</v>
      </c>
      <c r="F476" s="38">
        <f t="shared" si="386"/>
        <v>0</v>
      </c>
      <c r="G476" s="38">
        <f t="shared" si="386"/>
        <v>0</v>
      </c>
      <c r="H476" s="38">
        <f t="shared" si="386"/>
        <v>9365</v>
      </c>
      <c r="I476" s="38">
        <f t="shared" si="386"/>
        <v>0</v>
      </c>
      <c r="J476" s="12">
        <f>L476+M476+N476</f>
        <v>0</v>
      </c>
      <c r="K476" s="13">
        <v>0</v>
      </c>
      <c r="L476" s="38">
        <v>0</v>
      </c>
      <c r="M476" s="13">
        <v>0</v>
      </c>
      <c r="N476" s="13">
        <v>0</v>
      </c>
      <c r="O476" s="12">
        <f>Q476+R476+S476</f>
        <v>9365</v>
      </c>
      <c r="P476" s="13">
        <v>0</v>
      </c>
      <c r="Q476" s="13">
        <v>0</v>
      </c>
      <c r="R476" s="13">
        <f>9381.1-16.1</f>
        <v>9365</v>
      </c>
      <c r="S476" s="13">
        <v>0</v>
      </c>
      <c r="T476" s="12">
        <f>V476+W476+X476</f>
        <v>0</v>
      </c>
      <c r="U476" s="13">
        <v>0</v>
      </c>
      <c r="V476" s="13">
        <v>0</v>
      </c>
      <c r="W476" s="13">
        <v>0</v>
      </c>
      <c r="X476" s="13">
        <v>0</v>
      </c>
      <c r="Y476" s="12">
        <f>AA476+AB476+AC476</f>
        <v>0</v>
      </c>
      <c r="Z476" s="13">
        <v>0</v>
      </c>
      <c r="AA476" s="13">
        <v>0</v>
      </c>
      <c r="AB476" s="13">
        <v>0</v>
      </c>
      <c r="AC476" s="13">
        <v>0</v>
      </c>
      <c r="AD476" s="12">
        <f>AF476+AG476+AH476</f>
        <v>0</v>
      </c>
      <c r="AE476" s="13">
        <v>0</v>
      </c>
      <c r="AF476" s="13">
        <v>0</v>
      </c>
      <c r="AG476" s="13">
        <v>0</v>
      </c>
      <c r="AH476" s="13">
        <v>0</v>
      </c>
      <c r="AI476" s="12">
        <f>AK476+AL476+AM476</f>
        <v>0</v>
      </c>
      <c r="AJ476" s="13">
        <v>0</v>
      </c>
      <c r="AK476" s="13">
        <v>0</v>
      </c>
      <c r="AL476" s="13">
        <v>0</v>
      </c>
      <c r="AM476" s="13">
        <v>0</v>
      </c>
    </row>
    <row r="477" spans="1:39" ht="47.25" outlineLevel="2" x14ac:dyDescent="0.25">
      <c r="A477" s="16" t="s">
        <v>827</v>
      </c>
      <c r="B477" s="6" t="s">
        <v>826</v>
      </c>
      <c r="C477" s="26" t="s">
        <v>32</v>
      </c>
      <c r="D477" s="26" t="s">
        <v>32</v>
      </c>
      <c r="E477" s="20">
        <f>SUM(F477:I477)</f>
        <v>18000</v>
      </c>
      <c r="F477" s="38">
        <f>K477+P477+U477+Z477+AE477+AJ477</f>
        <v>0</v>
      </c>
      <c r="G477" s="38">
        <f>L477+Q477+V477+AA477+AF477+AK477</f>
        <v>0</v>
      </c>
      <c r="H477" s="38">
        <f>M477+R477+W477+AB477+AG477+AL477</f>
        <v>18000</v>
      </c>
      <c r="I477" s="38">
        <f>N477+S477+X477+AC477+AH477+AM477</f>
        <v>0</v>
      </c>
      <c r="J477" s="12">
        <f>L477+M477+N477</f>
        <v>0</v>
      </c>
      <c r="K477" s="13">
        <v>0</v>
      </c>
      <c r="L477" s="38">
        <v>0</v>
      </c>
      <c r="M477" s="13">
        <v>0</v>
      </c>
      <c r="N477" s="13">
        <v>0</v>
      </c>
      <c r="O477" s="12">
        <f>Q477+R477+S477</f>
        <v>0</v>
      </c>
      <c r="P477" s="13">
        <v>0</v>
      </c>
      <c r="Q477" s="13">
        <v>0</v>
      </c>
      <c r="R477" s="13">
        <v>0</v>
      </c>
      <c r="S477" s="13">
        <v>0</v>
      </c>
      <c r="T477" s="12">
        <f>V477+W477+X477</f>
        <v>18000</v>
      </c>
      <c r="U477" s="13">
        <v>0</v>
      </c>
      <c r="V477" s="13">
        <v>0</v>
      </c>
      <c r="W477" s="13">
        <v>18000</v>
      </c>
      <c r="X477" s="13">
        <v>0</v>
      </c>
      <c r="Y477" s="12">
        <f>AA477+AB477+AC477</f>
        <v>0</v>
      </c>
      <c r="Z477" s="13">
        <v>0</v>
      </c>
      <c r="AA477" s="13">
        <v>0</v>
      </c>
      <c r="AB477" s="13">
        <v>0</v>
      </c>
      <c r="AC477" s="13">
        <v>0</v>
      </c>
      <c r="AD477" s="12">
        <f>AF477+AG477+AH477</f>
        <v>0</v>
      </c>
      <c r="AE477" s="13">
        <v>0</v>
      </c>
      <c r="AF477" s="13">
        <v>0</v>
      </c>
      <c r="AG477" s="13">
        <v>0</v>
      </c>
      <c r="AH477" s="13">
        <v>0</v>
      </c>
      <c r="AI477" s="12">
        <f>AK477+AL477+AM477</f>
        <v>0</v>
      </c>
      <c r="AJ477" s="13">
        <v>0</v>
      </c>
      <c r="AK477" s="13">
        <v>0</v>
      </c>
      <c r="AL477" s="13">
        <v>0</v>
      </c>
      <c r="AM477" s="13">
        <v>0</v>
      </c>
    </row>
    <row r="478" spans="1:39" ht="35.25" customHeight="1" outlineLevel="2" x14ac:dyDescent="0.25">
      <c r="A478" s="58" t="s">
        <v>470</v>
      </c>
      <c r="B478" s="169" t="s">
        <v>479</v>
      </c>
      <c r="C478" s="170"/>
      <c r="D478" s="170"/>
      <c r="E478" s="59">
        <f t="shared" ref="E478:R478" si="388">SUM(E479:E479)</f>
        <v>73947.200000000012</v>
      </c>
      <c r="F478" s="59">
        <f t="shared" si="388"/>
        <v>0</v>
      </c>
      <c r="G478" s="59">
        <f t="shared" si="388"/>
        <v>0</v>
      </c>
      <c r="H478" s="59">
        <f t="shared" si="388"/>
        <v>73947.200000000012</v>
      </c>
      <c r="I478" s="59">
        <f t="shared" si="388"/>
        <v>0</v>
      </c>
      <c r="J478" s="59">
        <f t="shared" si="388"/>
        <v>0</v>
      </c>
      <c r="K478" s="59">
        <f t="shared" si="388"/>
        <v>0</v>
      </c>
      <c r="L478" s="59">
        <f t="shared" si="388"/>
        <v>0</v>
      </c>
      <c r="M478" s="59">
        <f t="shared" si="388"/>
        <v>0</v>
      </c>
      <c r="N478" s="59">
        <f t="shared" si="388"/>
        <v>0</v>
      </c>
      <c r="O478" s="59">
        <f t="shared" si="388"/>
        <v>38621</v>
      </c>
      <c r="P478" s="59">
        <f t="shared" si="388"/>
        <v>0</v>
      </c>
      <c r="Q478" s="59">
        <f t="shared" si="388"/>
        <v>0</v>
      </c>
      <c r="R478" s="59">
        <f t="shared" si="388"/>
        <v>38621</v>
      </c>
      <c r="S478" s="59">
        <f t="shared" ref="S478:AM478" si="389">SUM(S479:S479)</f>
        <v>0</v>
      </c>
      <c r="T478" s="59">
        <f t="shared" si="389"/>
        <v>35326.200000000004</v>
      </c>
      <c r="U478" s="59">
        <f t="shared" si="389"/>
        <v>0</v>
      </c>
      <c r="V478" s="59">
        <f t="shared" si="389"/>
        <v>0</v>
      </c>
      <c r="W478" s="59">
        <f t="shared" si="389"/>
        <v>35326.200000000004</v>
      </c>
      <c r="X478" s="59">
        <f t="shared" si="389"/>
        <v>0</v>
      </c>
      <c r="Y478" s="59">
        <f t="shared" si="389"/>
        <v>0</v>
      </c>
      <c r="Z478" s="59">
        <f t="shared" si="389"/>
        <v>0</v>
      </c>
      <c r="AA478" s="59">
        <f t="shared" si="389"/>
        <v>0</v>
      </c>
      <c r="AB478" s="59">
        <f t="shared" si="389"/>
        <v>0</v>
      </c>
      <c r="AC478" s="59">
        <f t="shared" si="389"/>
        <v>0</v>
      </c>
      <c r="AD478" s="59">
        <f t="shared" si="389"/>
        <v>0</v>
      </c>
      <c r="AE478" s="59">
        <f t="shared" si="389"/>
        <v>0</v>
      </c>
      <c r="AF478" s="59">
        <f t="shared" si="389"/>
        <v>0</v>
      </c>
      <c r="AG478" s="59">
        <f t="shared" si="389"/>
        <v>0</v>
      </c>
      <c r="AH478" s="59">
        <f t="shared" si="389"/>
        <v>0</v>
      </c>
      <c r="AI478" s="59">
        <f t="shared" si="389"/>
        <v>0</v>
      </c>
      <c r="AJ478" s="59">
        <f t="shared" si="389"/>
        <v>0</v>
      </c>
      <c r="AK478" s="59">
        <f t="shared" si="389"/>
        <v>0</v>
      </c>
      <c r="AL478" s="59">
        <f t="shared" si="389"/>
        <v>0</v>
      </c>
      <c r="AM478" s="59">
        <f t="shared" si="389"/>
        <v>0</v>
      </c>
    </row>
    <row r="479" spans="1:39" ht="31.5" x14ac:dyDescent="0.25">
      <c r="A479" s="16" t="s">
        <v>472</v>
      </c>
      <c r="B479" s="114" t="s">
        <v>471</v>
      </c>
      <c r="C479" s="26" t="s">
        <v>32</v>
      </c>
      <c r="D479" s="26" t="s">
        <v>118</v>
      </c>
      <c r="E479" s="20">
        <f>SUM(F479:I479)</f>
        <v>73947.200000000012</v>
      </c>
      <c r="F479" s="38">
        <f>K479+P479+U479+Z479+AE479+AJ479</f>
        <v>0</v>
      </c>
      <c r="G479" s="38">
        <f>L479+Q479+V479+AA479+AF479+AK479</f>
        <v>0</v>
      </c>
      <c r="H479" s="38">
        <f>M479+R479+W479+AB479+AG479+AL479</f>
        <v>73947.200000000012</v>
      </c>
      <c r="I479" s="38">
        <f>N479+S479+X479+AC479+AH479+AM479</f>
        <v>0</v>
      </c>
      <c r="J479" s="12">
        <f>L479+M479+N479</f>
        <v>0</v>
      </c>
      <c r="K479" s="13">
        <v>0</v>
      </c>
      <c r="L479" s="13">
        <v>0</v>
      </c>
      <c r="M479" s="13">
        <v>0</v>
      </c>
      <c r="N479" s="13">
        <v>0</v>
      </c>
      <c r="O479" s="60">
        <f>R479</f>
        <v>38621</v>
      </c>
      <c r="P479" s="13">
        <v>0</v>
      </c>
      <c r="Q479" s="13">
        <v>0</v>
      </c>
      <c r="R479" s="110">
        <f>12232.2+9062.7+10647.3+3250.6+3428.2</f>
        <v>38621</v>
      </c>
      <c r="S479" s="13">
        <v>0</v>
      </c>
      <c r="T479" s="12">
        <f>V479+W479+X479</f>
        <v>35326.200000000004</v>
      </c>
      <c r="U479" s="13">
        <v>0</v>
      </c>
      <c r="V479" s="13">
        <v>0</v>
      </c>
      <c r="W479" s="13">
        <f>17740+7037.4+6943+3605.8</f>
        <v>35326.200000000004</v>
      </c>
      <c r="X479" s="13">
        <v>0</v>
      </c>
      <c r="Y479" s="12">
        <f>AA479+AB479+AC479</f>
        <v>0</v>
      </c>
      <c r="Z479" s="13">
        <v>0</v>
      </c>
      <c r="AA479" s="13">
        <v>0</v>
      </c>
      <c r="AB479" s="13">
        <v>0</v>
      </c>
      <c r="AC479" s="13">
        <v>0</v>
      </c>
      <c r="AD479" s="12">
        <f>AF479+AG479+AH479</f>
        <v>0</v>
      </c>
      <c r="AE479" s="13">
        <v>0</v>
      </c>
      <c r="AF479" s="13">
        <v>0</v>
      </c>
      <c r="AG479" s="13">
        <v>0</v>
      </c>
      <c r="AH479" s="13">
        <v>0</v>
      </c>
      <c r="AI479" s="12">
        <f>AK479+AL479+AM479</f>
        <v>0</v>
      </c>
      <c r="AJ479" s="13">
        <v>0</v>
      </c>
      <c r="AK479" s="13">
        <v>0</v>
      </c>
      <c r="AL479" s="13">
        <v>0</v>
      </c>
      <c r="AM479" s="13">
        <v>0</v>
      </c>
    </row>
    <row r="480" spans="1:39" ht="35.25" customHeight="1" outlineLevel="2" x14ac:dyDescent="0.25">
      <c r="A480" s="58" t="s">
        <v>775</v>
      </c>
      <c r="B480" s="169" t="s">
        <v>777</v>
      </c>
      <c r="C480" s="170"/>
      <c r="D480" s="170"/>
      <c r="E480" s="59">
        <f>SUM(E481:E482)</f>
        <v>1644.3</v>
      </c>
      <c r="F480" s="59">
        <f t="shared" ref="F480:AM480" si="390">SUM(F481:F482)</f>
        <v>0</v>
      </c>
      <c r="G480" s="59">
        <f>SUM(G481:G482)</f>
        <v>0</v>
      </c>
      <c r="H480" s="59">
        <f t="shared" si="390"/>
        <v>1644.3</v>
      </c>
      <c r="I480" s="59">
        <f t="shared" si="390"/>
        <v>0</v>
      </c>
      <c r="J480" s="59">
        <f t="shared" si="390"/>
        <v>0</v>
      </c>
      <c r="K480" s="59">
        <f t="shared" si="390"/>
        <v>0</v>
      </c>
      <c r="L480" s="59">
        <f t="shared" si="390"/>
        <v>0</v>
      </c>
      <c r="M480" s="59">
        <f t="shared" si="390"/>
        <v>0</v>
      </c>
      <c r="N480" s="59">
        <f t="shared" si="390"/>
        <v>0</v>
      </c>
      <c r="O480" s="59">
        <f t="shared" si="390"/>
        <v>0</v>
      </c>
      <c r="P480" s="59">
        <f t="shared" si="390"/>
        <v>0</v>
      </c>
      <c r="Q480" s="59">
        <f t="shared" si="390"/>
        <v>0</v>
      </c>
      <c r="R480" s="59">
        <f t="shared" si="390"/>
        <v>0</v>
      </c>
      <c r="S480" s="59">
        <f t="shared" si="390"/>
        <v>0</v>
      </c>
      <c r="T480" s="59">
        <f t="shared" si="390"/>
        <v>1644.3</v>
      </c>
      <c r="U480" s="59">
        <f t="shared" si="390"/>
        <v>0</v>
      </c>
      <c r="V480" s="59">
        <f t="shared" si="390"/>
        <v>0</v>
      </c>
      <c r="W480" s="59">
        <f t="shared" si="390"/>
        <v>1644.3</v>
      </c>
      <c r="X480" s="59">
        <f t="shared" si="390"/>
        <v>0</v>
      </c>
      <c r="Y480" s="59">
        <f t="shared" si="390"/>
        <v>0</v>
      </c>
      <c r="Z480" s="59">
        <f t="shared" si="390"/>
        <v>0</v>
      </c>
      <c r="AA480" s="59">
        <f t="shared" si="390"/>
        <v>0</v>
      </c>
      <c r="AB480" s="59">
        <f t="shared" si="390"/>
        <v>0</v>
      </c>
      <c r="AC480" s="59">
        <f t="shared" si="390"/>
        <v>0</v>
      </c>
      <c r="AD480" s="59">
        <f t="shared" si="390"/>
        <v>0</v>
      </c>
      <c r="AE480" s="59">
        <f t="shared" si="390"/>
        <v>0</v>
      </c>
      <c r="AF480" s="59">
        <f t="shared" si="390"/>
        <v>0</v>
      </c>
      <c r="AG480" s="59">
        <f t="shared" si="390"/>
        <v>0</v>
      </c>
      <c r="AH480" s="59">
        <f t="shared" si="390"/>
        <v>0</v>
      </c>
      <c r="AI480" s="59">
        <f t="shared" si="390"/>
        <v>0</v>
      </c>
      <c r="AJ480" s="59">
        <f t="shared" si="390"/>
        <v>0</v>
      </c>
      <c r="AK480" s="59">
        <f t="shared" si="390"/>
        <v>0</v>
      </c>
      <c r="AL480" s="59">
        <f t="shared" si="390"/>
        <v>0</v>
      </c>
      <c r="AM480" s="59">
        <f t="shared" si="390"/>
        <v>0</v>
      </c>
    </row>
    <row r="481" spans="1:39" ht="47.25" x14ac:dyDescent="0.25">
      <c r="A481" s="16" t="s">
        <v>776</v>
      </c>
      <c r="B481" s="114" t="s">
        <v>896</v>
      </c>
      <c r="C481" s="26" t="s">
        <v>32</v>
      </c>
      <c r="D481" s="26" t="s">
        <v>118</v>
      </c>
      <c r="E481" s="20">
        <f>SUM(F481:I481)</f>
        <v>1000</v>
      </c>
      <c r="F481" s="38">
        <f>K481+P481+U481+Z481+AE481+AJ481</f>
        <v>0</v>
      </c>
      <c r="G481" s="38">
        <f>L481+Q481+V481+AA481+AF481+AK481</f>
        <v>0</v>
      </c>
      <c r="H481" s="38">
        <f>M481+R481+W481+AB481+AG481+AL481</f>
        <v>1000</v>
      </c>
      <c r="I481" s="38">
        <f>N481+S481+X481+AC481+AH481+AM481</f>
        <v>0</v>
      </c>
      <c r="J481" s="12">
        <f>L481+M481+N481</f>
        <v>0</v>
      </c>
      <c r="K481" s="13">
        <v>0</v>
      </c>
      <c r="L481" s="13">
        <v>0</v>
      </c>
      <c r="M481" s="13">
        <v>0</v>
      </c>
      <c r="N481" s="13">
        <v>0</v>
      </c>
      <c r="O481" s="95">
        <f>R481</f>
        <v>0</v>
      </c>
      <c r="P481" s="13">
        <v>0</v>
      </c>
      <c r="Q481" s="13">
        <v>0</v>
      </c>
      <c r="R481" s="13">
        <v>0</v>
      </c>
      <c r="S481" s="13">
        <v>0</v>
      </c>
      <c r="T481" s="12">
        <f>V481+W481+X481</f>
        <v>1000</v>
      </c>
      <c r="U481" s="13">
        <v>0</v>
      </c>
      <c r="V481" s="13">
        <v>0</v>
      </c>
      <c r="W481" s="13">
        <v>1000</v>
      </c>
      <c r="X481" s="13">
        <v>0</v>
      </c>
      <c r="Y481" s="12">
        <f>AA481+AB481+AC481</f>
        <v>0</v>
      </c>
      <c r="Z481" s="13">
        <v>0</v>
      </c>
      <c r="AA481" s="13">
        <v>0</v>
      </c>
      <c r="AB481" s="13">
        <v>0</v>
      </c>
      <c r="AC481" s="13">
        <v>0</v>
      </c>
      <c r="AD481" s="12">
        <f>AF481+AG481+AH481</f>
        <v>0</v>
      </c>
      <c r="AE481" s="13">
        <v>0</v>
      </c>
      <c r="AF481" s="13">
        <v>0</v>
      </c>
      <c r="AG481" s="13">
        <v>0</v>
      </c>
      <c r="AH481" s="13">
        <v>0</v>
      </c>
      <c r="AI481" s="12">
        <f>AK481+AL481+AM481</f>
        <v>0</v>
      </c>
      <c r="AJ481" s="13">
        <v>0</v>
      </c>
      <c r="AK481" s="13">
        <v>0</v>
      </c>
      <c r="AL481" s="13">
        <v>0</v>
      </c>
      <c r="AM481" s="13">
        <v>0</v>
      </c>
    </row>
    <row r="482" spans="1:39" ht="38.25" customHeight="1" x14ac:dyDescent="0.25">
      <c r="A482" s="16" t="s">
        <v>949</v>
      </c>
      <c r="B482" s="202" t="s">
        <v>950</v>
      </c>
      <c r="C482" s="203"/>
      <c r="D482" s="204"/>
      <c r="E482" s="20">
        <f>SUM(E483:E485)</f>
        <v>644.29999999999995</v>
      </c>
      <c r="F482" s="20">
        <f t="shared" ref="F482:AM482" si="391">SUM(F483:F485)</f>
        <v>0</v>
      </c>
      <c r="G482" s="20">
        <f t="shared" si="391"/>
        <v>0</v>
      </c>
      <c r="H482" s="20">
        <f t="shared" si="391"/>
        <v>644.29999999999995</v>
      </c>
      <c r="I482" s="20">
        <f t="shared" si="391"/>
        <v>0</v>
      </c>
      <c r="J482" s="20">
        <f t="shared" si="391"/>
        <v>0</v>
      </c>
      <c r="K482" s="20">
        <f t="shared" si="391"/>
        <v>0</v>
      </c>
      <c r="L482" s="20">
        <f t="shared" si="391"/>
        <v>0</v>
      </c>
      <c r="M482" s="20">
        <f t="shared" si="391"/>
        <v>0</v>
      </c>
      <c r="N482" s="20">
        <f t="shared" si="391"/>
        <v>0</v>
      </c>
      <c r="O482" s="20">
        <f t="shared" si="391"/>
        <v>0</v>
      </c>
      <c r="P482" s="20">
        <f t="shared" si="391"/>
        <v>0</v>
      </c>
      <c r="Q482" s="20">
        <f t="shared" si="391"/>
        <v>0</v>
      </c>
      <c r="R482" s="20">
        <f t="shared" si="391"/>
        <v>0</v>
      </c>
      <c r="S482" s="20">
        <f t="shared" si="391"/>
        <v>0</v>
      </c>
      <c r="T482" s="20">
        <f t="shared" si="391"/>
        <v>644.29999999999995</v>
      </c>
      <c r="U482" s="20">
        <f t="shared" si="391"/>
        <v>0</v>
      </c>
      <c r="V482" s="20">
        <f t="shared" si="391"/>
        <v>0</v>
      </c>
      <c r="W482" s="20">
        <f t="shared" si="391"/>
        <v>644.29999999999995</v>
      </c>
      <c r="X482" s="20">
        <f t="shared" si="391"/>
        <v>0</v>
      </c>
      <c r="Y482" s="20">
        <f t="shared" si="391"/>
        <v>0</v>
      </c>
      <c r="Z482" s="20">
        <f t="shared" si="391"/>
        <v>0</v>
      </c>
      <c r="AA482" s="20">
        <f t="shared" si="391"/>
        <v>0</v>
      </c>
      <c r="AB482" s="20">
        <f t="shared" si="391"/>
        <v>0</v>
      </c>
      <c r="AC482" s="20">
        <f t="shared" si="391"/>
        <v>0</v>
      </c>
      <c r="AD482" s="20">
        <f t="shared" si="391"/>
        <v>0</v>
      </c>
      <c r="AE482" s="20">
        <f t="shared" si="391"/>
        <v>0</v>
      </c>
      <c r="AF482" s="20">
        <f t="shared" si="391"/>
        <v>0</v>
      </c>
      <c r="AG482" s="20">
        <f t="shared" si="391"/>
        <v>0</v>
      </c>
      <c r="AH482" s="20">
        <f t="shared" si="391"/>
        <v>0</v>
      </c>
      <c r="AI482" s="20">
        <f t="shared" si="391"/>
        <v>0</v>
      </c>
      <c r="AJ482" s="20">
        <f t="shared" si="391"/>
        <v>0</v>
      </c>
      <c r="AK482" s="20">
        <f t="shared" si="391"/>
        <v>0</v>
      </c>
      <c r="AL482" s="20">
        <f t="shared" si="391"/>
        <v>0</v>
      </c>
      <c r="AM482" s="20">
        <f t="shared" si="391"/>
        <v>0</v>
      </c>
    </row>
    <row r="483" spans="1:39" ht="31.5" x14ac:dyDescent="0.25">
      <c r="A483" s="126" t="s">
        <v>952</v>
      </c>
      <c r="B483" s="129" t="s">
        <v>523</v>
      </c>
      <c r="C483" s="26" t="s">
        <v>32</v>
      </c>
      <c r="D483" s="26" t="s">
        <v>118</v>
      </c>
      <c r="E483" s="20">
        <f>SUM(F483:I483)</f>
        <v>356.7</v>
      </c>
      <c r="F483" s="38">
        <f t="shared" ref="F483:I485" si="392">K483+P483+U483+Z483+AE483+AJ483</f>
        <v>0</v>
      </c>
      <c r="G483" s="38">
        <f t="shared" si="392"/>
        <v>0</v>
      </c>
      <c r="H483" s="38">
        <f t="shared" si="392"/>
        <v>356.7</v>
      </c>
      <c r="I483" s="38">
        <f t="shared" si="392"/>
        <v>0</v>
      </c>
      <c r="J483" s="12">
        <f>L483+M483+N483</f>
        <v>0</v>
      </c>
      <c r="K483" s="13">
        <v>0</v>
      </c>
      <c r="L483" s="13">
        <v>0</v>
      </c>
      <c r="M483" s="13">
        <v>0</v>
      </c>
      <c r="N483" s="13">
        <v>0</v>
      </c>
      <c r="O483" s="95">
        <f>R483</f>
        <v>0</v>
      </c>
      <c r="P483" s="13">
        <v>0</v>
      </c>
      <c r="Q483" s="13">
        <v>0</v>
      </c>
      <c r="R483" s="13">
        <v>0</v>
      </c>
      <c r="S483" s="13">
        <v>0</v>
      </c>
      <c r="T483" s="12">
        <f>V483+W483+X483</f>
        <v>356.7</v>
      </c>
      <c r="U483" s="13">
        <v>0</v>
      </c>
      <c r="V483" s="13">
        <v>0</v>
      </c>
      <c r="W483" s="13">
        <v>356.7</v>
      </c>
      <c r="X483" s="13">
        <v>0</v>
      </c>
      <c r="Y483" s="12">
        <f>AA483+AB483+AC483</f>
        <v>0</v>
      </c>
      <c r="Z483" s="13">
        <v>0</v>
      </c>
      <c r="AA483" s="13">
        <v>0</v>
      </c>
      <c r="AB483" s="13">
        <v>0</v>
      </c>
      <c r="AC483" s="13">
        <v>0</v>
      </c>
      <c r="AD483" s="12">
        <f>AF483+AG483+AH483</f>
        <v>0</v>
      </c>
      <c r="AE483" s="13">
        <v>0</v>
      </c>
      <c r="AF483" s="13">
        <v>0</v>
      </c>
      <c r="AG483" s="13">
        <v>0</v>
      </c>
      <c r="AH483" s="13">
        <v>0</v>
      </c>
      <c r="AI483" s="12">
        <f>AK483+AL483+AM483</f>
        <v>0</v>
      </c>
      <c r="AJ483" s="13">
        <v>0</v>
      </c>
      <c r="AK483" s="13">
        <v>0</v>
      </c>
      <c r="AL483" s="13">
        <v>0</v>
      </c>
      <c r="AM483" s="13">
        <v>0</v>
      </c>
    </row>
    <row r="484" spans="1:39" ht="31.5" x14ac:dyDescent="0.25">
      <c r="A484" s="126" t="s">
        <v>953</v>
      </c>
      <c r="B484" s="129" t="s">
        <v>511</v>
      </c>
      <c r="C484" s="26" t="s">
        <v>32</v>
      </c>
      <c r="D484" s="26" t="s">
        <v>118</v>
      </c>
      <c r="E484" s="20">
        <f>SUM(F484:I484)</f>
        <v>17.899999999999999</v>
      </c>
      <c r="F484" s="38">
        <f t="shared" si="392"/>
        <v>0</v>
      </c>
      <c r="G484" s="38">
        <f t="shared" si="392"/>
        <v>0</v>
      </c>
      <c r="H484" s="38">
        <f t="shared" si="392"/>
        <v>17.899999999999999</v>
      </c>
      <c r="I484" s="38">
        <f t="shared" si="392"/>
        <v>0</v>
      </c>
      <c r="J484" s="12">
        <f>L484+M484+N484</f>
        <v>0</v>
      </c>
      <c r="K484" s="13">
        <v>0</v>
      </c>
      <c r="L484" s="13">
        <v>0</v>
      </c>
      <c r="M484" s="13">
        <v>0</v>
      </c>
      <c r="N484" s="13">
        <v>0</v>
      </c>
      <c r="O484" s="95">
        <f>R484</f>
        <v>0</v>
      </c>
      <c r="P484" s="13">
        <v>0</v>
      </c>
      <c r="Q484" s="13">
        <v>0</v>
      </c>
      <c r="R484" s="13">
        <v>0</v>
      </c>
      <c r="S484" s="13">
        <v>0</v>
      </c>
      <c r="T484" s="12">
        <f>V484+W484+X484</f>
        <v>17.899999999999999</v>
      </c>
      <c r="U484" s="13">
        <v>0</v>
      </c>
      <c r="V484" s="13">
        <v>0</v>
      </c>
      <c r="W484" s="13">
        <v>17.899999999999999</v>
      </c>
      <c r="X484" s="13">
        <v>0</v>
      </c>
      <c r="Y484" s="12">
        <f>AA484+AB484+AC484</f>
        <v>0</v>
      </c>
      <c r="Z484" s="13">
        <v>0</v>
      </c>
      <c r="AA484" s="13">
        <v>0</v>
      </c>
      <c r="AB484" s="13">
        <v>0</v>
      </c>
      <c r="AC484" s="13">
        <v>0</v>
      </c>
      <c r="AD484" s="12">
        <f>AF484+AG484+AH484</f>
        <v>0</v>
      </c>
      <c r="AE484" s="13">
        <v>0</v>
      </c>
      <c r="AF484" s="13">
        <v>0</v>
      </c>
      <c r="AG484" s="13">
        <v>0</v>
      </c>
      <c r="AH484" s="13">
        <v>0</v>
      </c>
      <c r="AI484" s="12">
        <f>AK484+AL484+AM484</f>
        <v>0</v>
      </c>
      <c r="AJ484" s="13">
        <v>0</v>
      </c>
      <c r="AK484" s="13">
        <v>0</v>
      </c>
      <c r="AL484" s="13">
        <v>0</v>
      </c>
      <c r="AM484" s="13">
        <v>0</v>
      </c>
    </row>
    <row r="485" spans="1:39" ht="31.5" x14ac:dyDescent="0.25">
      <c r="A485" s="126" t="s">
        <v>954</v>
      </c>
      <c r="B485" s="129" t="s">
        <v>951</v>
      </c>
      <c r="C485" s="26" t="s">
        <v>32</v>
      </c>
      <c r="D485" s="26" t="s">
        <v>118</v>
      </c>
      <c r="E485" s="20">
        <f>SUM(F485:I485)</f>
        <v>269.7</v>
      </c>
      <c r="F485" s="38">
        <f t="shared" si="392"/>
        <v>0</v>
      </c>
      <c r="G485" s="38">
        <f t="shared" si="392"/>
        <v>0</v>
      </c>
      <c r="H485" s="38">
        <f t="shared" si="392"/>
        <v>269.7</v>
      </c>
      <c r="I485" s="38">
        <f t="shared" si="392"/>
        <v>0</v>
      </c>
      <c r="J485" s="12">
        <f>L485+M485+N485</f>
        <v>0</v>
      </c>
      <c r="K485" s="13">
        <v>0</v>
      </c>
      <c r="L485" s="13">
        <v>0</v>
      </c>
      <c r="M485" s="13">
        <v>0</v>
      </c>
      <c r="N485" s="13">
        <v>0</v>
      </c>
      <c r="O485" s="95">
        <f>R485</f>
        <v>0</v>
      </c>
      <c r="P485" s="13">
        <v>0</v>
      </c>
      <c r="Q485" s="13">
        <v>0</v>
      </c>
      <c r="R485" s="13">
        <v>0</v>
      </c>
      <c r="S485" s="13">
        <v>0</v>
      </c>
      <c r="T485" s="12">
        <f>V485+W485+X485</f>
        <v>269.7</v>
      </c>
      <c r="U485" s="13">
        <v>0</v>
      </c>
      <c r="V485" s="13">
        <v>0</v>
      </c>
      <c r="W485" s="13">
        <v>269.7</v>
      </c>
      <c r="X485" s="13">
        <v>0</v>
      </c>
      <c r="Y485" s="12">
        <f>AA485+AB485+AC485</f>
        <v>0</v>
      </c>
      <c r="Z485" s="13">
        <v>0</v>
      </c>
      <c r="AA485" s="13">
        <v>0</v>
      </c>
      <c r="AB485" s="13">
        <v>0</v>
      </c>
      <c r="AC485" s="13">
        <v>0</v>
      </c>
      <c r="AD485" s="12">
        <f>AF485+AG485+AH485</f>
        <v>0</v>
      </c>
      <c r="AE485" s="13">
        <v>0</v>
      </c>
      <c r="AF485" s="13">
        <v>0</v>
      </c>
      <c r="AG485" s="13">
        <v>0</v>
      </c>
      <c r="AH485" s="13">
        <v>0</v>
      </c>
      <c r="AI485" s="12">
        <f>AK485+AL485+AM485</f>
        <v>0</v>
      </c>
      <c r="AJ485" s="13">
        <v>0</v>
      </c>
      <c r="AK485" s="13">
        <v>0</v>
      </c>
      <c r="AL485" s="13">
        <v>0</v>
      </c>
      <c r="AM485" s="13">
        <v>0</v>
      </c>
    </row>
    <row r="486" spans="1:39" ht="81.75" customHeight="1" x14ac:dyDescent="0.25">
      <c r="A486" s="56" t="s">
        <v>938</v>
      </c>
      <c r="B486" s="205" t="s">
        <v>955</v>
      </c>
      <c r="C486" s="206"/>
      <c r="D486" s="206"/>
      <c r="E486" s="59">
        <f>SUM(E487:E489)</f>
        <v>18390.300000000003</v>
      </c>
      <c r="F486" s="59">
        <f t="shared" ref="F486:AM486" si="393">SUM(F487:F489)</f>
        <v>0</v>
      </c>
      <c r="G486" s="59">
        <f t="shared" si="393"/>
        <v>17475.099999999999</v>
      </c>
      <c r="H486" s="59">
        <f t="shared" si="393"/>
        <v>915.2</v>
      </c>
      <c r="I486" s="59">
        <f t="shared" si="393"/>
        <v>0</v>
      </c>
      <c r="J486" s="59">
        <f t="shared" si="393"/>
        <v>0</v>
      </c>
      <c r="K486" s="59">
        <f t="shared" si="393"/>
        <v>0</v>
      </c>
      <c r="L486" s="59">
        <f t="shared" si="393"/>
        <v>0</v>
      </c>
      <c r="M486" s="59">
        <f t="shared" si="393"/>
        <v>0</v>
      </c>
      <c r="N486" s="59">
        <f t="shared" si="393"/>
        <v>0</v>
      </c>
      <c r="O486" s="59">
        <f t="shared" si="393"/>
        <v>0</v>
      </c>
      <c r="P486" s="59">
        <f t="shared" si="393"/>
        <v>0</v>
      </c>
      <c r="Q486" s="59">
        <f t="shared" si="393"/>
        <v>0</v>
      </c>
      <c r="R486" s="59">
        <f t="shared" si="393"/>
        <v>0</v>
      </c>
      <c r="S486" s="59">
        <f t="shared" si="393"/>
        <v>0</v>
      </c>
      <c r="T486" s="59">
        <f t="shared" si="393"/>
        <v>18390.300000000003</v>
      </c>
      <c r="U486" s="59">
        <f t="shared" si="393"/>
        <v>0</v>
      </c>
      <c r="V486" s="59">
        <f t="shared" si="393"/>
        <v>17475.099999999999</v>
      </c>
      <c r="W486" s="59">
        <f t="shared" si="393"/>
        <v>915.2</v>
      </c>
      <c r="X486" s="59">
        <f t="shared" si="393"/>
        <v>0</v>
      </c>
      <c r="Y486" s="59">
        <f t="shared" si="393"/>
        <v>0</v>
      </c>
      <c r="Z486" s="59">
        <f t="shared" si="393"/>
        <v>0</v>
      </c>
      <c r="AA486" s="59">
        <f t="shared" si="393"/>
        <v>0</v>
      </c>
      <c r="AB486" s="59">
        <f t="shared" si="393"/>
        <v>0</v>
      </c>
      <c r="AC486" s="59">
        <f t="shared" si="393"/>
        <v>0</v>
      </c>
      <c r="AD486" s="59">
        <f t="shared" si="393"/>
        <v>0</v>
      </c>
      <c r="AE486" s="59">
        <f t="shared" si="393"/>
        <v>0</v>
      </c>
      <c r="AF486" s="59">
        <f t="shared" si="393"/>
        <v>0</v>
      </c>
      <c r="AG486" s="59">
        <f t="shared" si="393"/>
        <v>0</v>
      </c>
      <c r="AH486" s="59">
        <f t="shared" si="393"/>
        <v>0</v>
      </c>
      <c r="AI486" s="59">
        <f t="shared" si="393"/>
        <v>0</v>
      </c>
      <c r="AJ486" s="59">
        <f t="shared" si="393"/>
        <v>0</v>
      </c>
      <c r="AK486" s="59">
        <f t="shared" si="393"/>
        <v>0</v>
      </c>
      <c r="AL486" s="59">
        <f t="shared" si="393"/>
        <v>0</v>
      </c>
      <c r="AM486" s="59">
        <f t="shared" si="393"/>
        <v>0</v>
      </c>
    </row>
    <row r="487" spans="1:39" ht="31.5" x14ac:dyDescent="0.25">
      <c r="A487" s="16" t="s">
        <v>957</v>
      </c>
      <c r="B487" s="6" t="s">
        <v>62</v>
      </c>
      <c r="C487" s="26" t="s">
        <v>32</v>
      </c>
      <c r="D487" s="26" t="s">
        <v>118</v>
      </c>
      <c r="E487" s="20">
        <f>SUM(F487:I487)</f>
        <v>374.7</v>
      </c>
      <c r="F487" s="38">
        <f t="shared" ref="F487:I489" si="394">K487+P487+U487+Z487+AE487+AJ487</f>
        <v>0</v>
      </c>
      <c r="G487" s="38">
        <f t="shared" si="394"/>
        <v>0</v>
      </c>
      <c r="H487" s="38">
        <f t="shared" si="394"/>
        <v>374.7</v>
      </c>
      <c r="I487" s="38">
        <f t="shared" si="394"/>
        <v>0</v>
      </c>
      <c r="J487" s="12">
        <f>L487+M487+N487</f>
        <v>0</v>
      </c>
      <c r="K487" s="13">
        <v>0</v>
      </c>
      <c r="L487" s="13">
        <v>0</v>
      </c>
      <c r="M487" s="13">
        <v>0</v>
      </c>
      <c r="N487" s="13">
        <v>0</v>
      </c>
      <c r="O487" s="95">
        <f>R487</f>
        <v>0</v>
      </c>
      <c r="P487" s="13">
        <v>0</v>
      </c>
      <c r="Q487" s="13">
        <v>0</v>
      </c>
      <c r="R487" s="13">
        <v>0</v>
      </c>
      <c r="S487" s="13">
        <v>0</v>
      </c>
      <c r="T487" s="12">
        <f>V487+W487+X487</f>
        <v>374.7</v>
      </c>
      <c r="U487" s="59">
        <v>0</v>
      </c>
      <c r="V487" s="59">
        <v>0</v>
      </c>
      <c r="W487" s="7">
        <v>374.7</v>
      </c>
      <c r="X487" s="13">
        <v>0</v>
      </c>
      <c r="Y487" s="12">
        <f>AA487+AB487+AC487</f>
        <v>0</v>
      </c>
      <c r="Z487" s="13">
        <v>0</v>
      </c>
      <c r="AA487" s="13">
        <v>0</v>
      </c>
      <c r="AB487" s="13">
        <v>0</v>
      </c>
      <c r="AC487" s="13">
        <v>0</v>
      </c>
      <c r="AD487" s="12">
        <f>AF487+AG487+AH487</f>
        <v>0</v>
      </c>
      <c r="AE487" s="13">
        <v>0</v>
      </c>
      <c r="AF487" s="13">
        <v>0</v>
      </c>
      <c r="AG487" s="13">
        <v>0</v>
      </c>
      <c r="AH487" s="13">
        <v>0</v>
      </c>
      <c r="AI487" s="12">
        <f>AK487+AL487+AM487</f>
        <v>0</v>
      </c>
      <c r="AJ487" s="13">
        <v>0</v>
      </c>
      <c r="AK487" s="13">
        <v>0</v>
      </c>
      <c r="AL487" s="13">
        <v>0</v>
      </c>
      <c r="AM487" s="13">
        <v>0</v>
      </c>
    </row>
    <row r="488" spans="1:39" ht="33" x14ac:dyDescent="0.25">
      <c r="A488" s="16" t="s">
        <v>956</v>
      </c>
      <c r="B488" s="142" t="s">
        <v>959</v>
      </c>
      <c r="C488" s="26" t="s">
        <v>32</v>
      </c>
      <c r="D488" s="26" t="s">
        <v>118</v>
      </c>
      <c r="E488" s="20">
        <f>SUM(F488:I488)</f>
        <v>8506.8000000000011</v>
      </c>
      <c r="F488" s="38">
        <f t="shared" si="394"/>
        <v>0</v>
      </c>
      <c r="G488" s="38">
        <f t="shared" si="394"/>
        <v>8251.6</v>
      </c>
      <c r="H488" s="38">
        <f t="shared" si="394"/>
        <v>255.2</v>
      </c>
      <c r="I488" s="38">
        <f t="shared" si="394"/>
        <v>0</v>
      </c>
      <c r="J488" s="12">
        <f>L488+M488+N488</f>
        <v>0</v>
      </c>
      <c r="K488" s="13">
        <v>0</v>
      </c>
      <c r="L488" s="13">
        <v>0</v>
      </c>
      <c r="M488" s="13">
        <v>0</v>
      </c>
      <c r="N488" s="13">
        <v>0</v>
      </c>
      <c r="O488" s="95">
        <f>R488</f>
        <v>0</v>
      </c>
      <c r="P488" s="13">
        <v>0</v>
      </c>
      <c r="Q488" s="13">
        <v>0</v>
      </c>
      <c r="R488" s="13">
        <v>0</v>
      </c>
      <c r="S488" s="13">
        <v>0</v>
      </c>
      <c r="T488" s="12">
        <f>V488+W488+X488</f>
        <v>8506.8000000000011</v>
      </c>
      <c r="U488" s="59">
        <v>0</v>
      </c>
      <c r="V488" s="125">
        <v>8251.6</v>
      </c>
      <c r="W488" s="7">
        <v>255.2</v>
      </c>
      <c r="X488" s="13">
        <v>0</v>
      </c>
      <c r="Y488" s="12">
        <f>AA488+AB488+AC488</f>
        <v>0</v>
      </c>
      <c r="Z488" s="13">
        <v>0</v>
      </c>
      <c r="AA488" s="13">
        <v>0</v>
      </c>
      <c r="AB488" s="13">
        <v>0</v>
      </c>
      <c r="AC488" s="13">
        <v>0</v>
      </c>
      <c r="AD488" s="12">
        <f>AF488+AG488+AH488</f>
        <v>0</v>
      </c>
      <c r="AE488" s="13">
        <v>0</v>
      </c>
      <c r="AF488" s="13">
        <v>0</v>
      </c>
      <c r="AG488" s="13">
        <v>0</v>
      </c>
      <c r="AH488" s="13">
        <v>0</v>
      </c>
      <c r="AI488" s="12">
        <f>AK488+AL488+AM488</f>
        <v>0</v>
      </c>
      <c r="AJ488" s="13">
        <v>0</v>
      </c>
      <c r="AK488" s="13">
        <v>0</v>
      </c>
      <c r="AL488" s="13">
        <v>0</v>
      </c>
      <c r="AM488" s="13">
        <v>0</v>
      </c>
    </row>
    <row r="489" spans="1:39" ht="31.5" x14ac:dyDescent="0.25">
      <c r="A489" s="16" t="s">
        <v>958</v>
      </c>
      <c r="B489" s="6" t="s">
        <v>951</v>
      </c>
      <c r="C489" s="26" t="s">
        <v>32</v>
      </c>
      <c r="D489" s="26" t="s">
        <v>118</v>
      </c>
      <c r="E489" s="20">
        <f>SUM(F489:I489)</f>
        <v>9508.7999999999993</v>
      </c>
      <c r="F489" s="38">
        <f t="shared" si="394"/>
        <v>0</v>
      </c>
      <c r="G489" s="38">
        <f t="shared" si="394"/>
        <v>9223.5</v>
      </c>
      <c r="H489" s="38">
        <f t="shared" si="394"/>
        <v>285.3</v>
      </c>
      <c r="I489" s="38">
        <f t="shared" si="394"/>
        <v>0</v>
      </c>
      <c r="J489" s="12">
        <f>L489+M489+N489</f>
        <v>0</v>
      </c>
      <c r="K489" s="13">
        <v>0</v>
      </c>
      <c r="L489" s="13">
        <v>0</v>
      </c>
      <c r="M489" s="13">
        <v>0</v>
      </c>
      <c r="N489" s="13">
        <v>0</v>
      </c>
      <c r="O489" s="95">
        <f>R489</f>
        <v>0</v>
      </c>
      <c r="P489" s="13">
        <v>0</v>
      </c>
      <c r="Q489" s="13">
        <v>0</v>
      </c>
      <c r="R489" s="13">
        <v>0</v>
      </c>
      <c r="S489" s="13">
        <v>0</v>
      </c>
      <c r="T489" s="12">
        <f>V489+W489+X489</f>
        <v>9508.7999999999993</v>
      </c>
      <c r="U489" s="59">
        <v>0</v>
      </c>
      <c r="V489" s="125">
        <v>9223.5</v>
      </c>
      <c r="W489" s="7">
        <v>285.3</v>
      </c>
      <c r="X489" s="13">
        <v>0</v>
      </c>
      <c r="Y489" s="12">
        <f>AA489+AB489+AC489</f>
        <v>0</v>
      </c>
      <c r="Z489" s="13">
        <v>0</v>
      </c>
      <c r="AA489" s="13">
        <v>0</v>
      </c>
      <c r="AB489" s="13">
        <v>0</v>
      </c>
      <c r="AC489" s="13">
        <v>0</v>
      </c>
      <c r="AD489" s="12">
        <f>AF489+AG489+AH489</f>
        <v>0</v>
      </c>
      <c r="AE489" s="13">
        <v>0</v>
      </c>
      <c r="AF489" s="13">
        <v>0</v>
      </c>
      <c r="AG489" s="13">
        <v>0</v>
      </c>
      <c r="AH489" s="13">
        <v>0</v>
      </c>
      <c r="AI489" s="12">
        <f>AK489+AL489+AM489</f>
        <v>0</v>
      </c>
      <c r="AJ489" s="13">
        <v>0</v>
      </c>
      <c r="AK489" s="13">
        <v>0</v>
      </c>
      <c r="AL489" s="13">
        <v>0</v>
      </c>
      <c r="AM489" s="13">
        <v>0</v>
      </c>
    </row>
  </sheetData>
  <autoFilter ref="A4:X474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92">
    <mergeCell ref="B482:D482"/>
    <mergeCell ref="B486:D486"/>
    <mergeCell ref="D1:L1"/>
    <mergeCell ref="A4:A7"/>
    <mergeCell ref="B393:D393"/>
    <mergeCell ref="B367:D367"/>
    <mergeCell ref="A2:AM2"/>
    <mergeCell ref="AH1:AM1"/>
    <mergeCell ref="AI5:AM5"/>
    <mergeCell ref="AI6:AI7"/>
    <mergeCell ref="AJ6:AM6"/>
    <mergeCell ref="J4:AM4"/>
    <mergeCell ref="Y5:AC5"/>
    <mergeCell ref="Y6:Y7"/>
    <mergeCell ref="Z6:AC6"/>
    <mergeCell ref="AD5:AH5"/>
    <mergeCell ref="AD6:AD7"/>
    <mergeCell ref="AE6:AH6"/>
    <mergeCell ref="T5:X5"/>
    <mergeCell ref="O5:S5"/>
    <mergeCell ref="P6:S6"/>
    <mergeCell ref="U6:X6"/>
    <mergeCell ref="B4:B7"/>
    <mergeCell ref="C4:C7"/>
    <mergeCell ref="O6:O7"/>
    <mergeCell ref="J5:N5"/>
    <mergeCell ref="T6:T7"/>
    <mergeCell ref="D4:D7"/>
    <mergeCell ref="J6:J7"/>
    <mergeCell ref="E4:I5"/>
    <mergeCell ref="F6:I6"/>
    <mergeCell ref="K6:N6"/>
    <mergeCell ref="E6:E7"/>
    <mergeCell ref="B197:D197"/>
    <mergeCell ref="C319:C320"/>
    <mergeCell ref="D319:D320"/>
    <mergeCell ref="B200:D200"/>
    <mergeCell ref="B134:D134"/>
    <mergeCell ref="B192:D192"/>
    <mergeCell ref="B202:D202"/>
    <mergeCell ref="B209:D209"/>
    <mergeCell ref="B263:D263"/>
    <mergeCell ref="B234:D234"/>
    <mergeCell ref="B181:D181"/>
    <mergeCell ref="B94:D94"/>
    <mergeCell ref="B104:D104"/>
    <mergeCell ref="B97:D97"/>
    <mergeCell ref="B11:D11"/>
    <mergeCell ref="B9:D9"/>
    <mergeCell ref="B10:D10"/>
    <mergeCell ref="B28:D28"/>
    <mergeCell ref="B82:D82"/>
    <mergeCell ref="B112:D112"/>
    <mergeCell ref="B151:D151"/>
    <mergeCell ref="B466:D466"/>
    <mergeCell ref="B230:D230"/>
    <mergeCell ref="B275:D275"/>
    <mergeCell ref="B300:D300"/>
    <mergeCell ref="B389:D389"/>
    <mergeCell ref="B378:D378"/>
    <mergeCell ref="B237:D237"/>
    <mergeCell ref="B286:D286"/>
    <mergeCell ref="B287:D287"/>
    <mergeCell ref="B297:D297"/>
    <mergeCell ref="B238:D238"/>
    <mergeCell ref="B447:D447"/>
    <mergeCell ref="B442:D442"/>
    <mergeCell ref="B158:D158"/>
    <mergeCell ref="B471:D471"/>
    <mergeCell ref="B322:D322"/>
    <mergeCell ref="B439:D439"/>
    <mergeCell ref="B419:D419"/>
    <mergeCell ref="B383:D383"/>
    <mergeCell ref="B342:D342"/>
    <mergeCell ref="B380:D380"/>
    <mergeCell ref="B417:D417"/>
    <mergeCell ref="B480:D480"/>
    <mergeCell ref="B115:D115"/>
    <mergeCell ref="B478:D478"/>
    <mergeCell ref="B116:D116"/>
    <mergeCell ref="B130:D130"/>
    <mergeCell ref="B475:D475"/>
    <mergeCell ref="B203:D203"/>
    <mergeCell ref="B168:D168"/>
    <mergeCell ref="B183:D183"/>
    <mergeCell ref="B152:D152"/>
    <mergeCell ref="B298:D298"/>
    <mergeCell ref="B361:D361"/>
    <mergeCell ref="B311:D311"/>
    <mergeCell ref="B321:D321"/>
    <mergeCell ref="B444:D444"/>
    <mergeCell ref="B446:D446"/>
  </mergeCells>
  <printOptions horizontalCentered="1"/>
  <pageMargins left="0" right="0" top="0.19685039370078741" bottom="0.19685039370078741" header="0.31496062992125984" footer="0.31496062992125984"/>
  <pageSetup paperSize="9" scale="25" fitToHeight="13" orientation="landscape" r:id="rId1"/>
  <headerFooter>
    <oddFooter>Страница  &amp;P из &amp;N</oddFooter>
  </headerFooter>
  <rowBreaks count="3" manualBreakCount="3">
    <brk id="96" max="38" man="1"/>
    <brk id="334" max="38" man="1"/>
    <brk id="382" max="38" man="1"/>
  </rowBreaks>
  <colBreaks count="2" manualBreakCount="2">
    <brk id="24" max="488" man="1"/>
    <brk id="29" max="47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B1:Q48"/>
  <sheetViews>
    <sheetView zoomScaleNormal="100" zoomScaleSheetLayoutView="80" workbookViewId="0">
      <selection activeCell="G39" sqref="G39"/>
    </sheetView>
  </sheetViews>
  <sheetFormatPr defaultColWidth="9.140625" defaultRowHeight="15.75" x14ac:dyDescent="0.25"/>
  <cols>
    <col min="1" max="1" width="4.5703125" style="65" customWidth="1"/>
    <col min="2" max="2" width="28.42578125" style="65" customWidth="1"/>
    <col min="3" max="3" width="19.85546875" style="66" customWidth="1" collapsed="1"/>
    <col min="4" max="4" width="15.7109375" style="66" customWidth="1"/>
    <col min="5" max="5" width="13.42578125" style="65" customWidth="1"/>
    <col min="6" max="6" width="13.5703125" style="65" customWidth="1"/>
    <col min="7" max="7" width="12.5703125" style="67" customWidth="1"/>
    <col min="8" max="8" width="16.85546875" style="68" hidden="1" customWidth="1"/>
    <col min="9" max="9" width="16.85546875" style="65" hidden="1" customWidth="1"/>
    <col min="10" max="10" width="13.42578125" style="65" customWidth="1" collapsed="1"/>
    <col min="11" max="11" width="15.7109375" style="65" hidden="1" customWidth="1"/>
    <col min="12" max="12" width="15.7109375" style="68" hidden="1" customWidth="1"/>
    <col min="13" max="13" width="13.42578125" style="66" customWidth="1" collapsed="1"/>
    <col min="14" max="14" width="16.85546875" style="65" hidden="1" customWidth="1" collapsed="1"/>
    <col min="15" max="15" width="16.85546875" style="65" hidden="1" customWidth="1"/>
    <col min="16" max="16" width="12.7109375" style="65" customWidth="1" collapsed="1"/>
    <col min="17" max="17" width="10.28515625" style="65" bestFit="1" customWidth="1" collapsed="1"/>
    <col min="18" max="18" width="6.85546875" style="65" bestFit="1" customWidth="1"/>
    <col min="19" max="19" width="10.28515625" style="65" bestFit="1" customWidth="1"/>
    <col min="20" max="21" width="6.85546875" style="65" bestFit="1" customWidth="1"/>
    <col min="22" max="22" width="10.28515625" style="65" bestFit="1" customWidth="1"/>
    <col min="23" max="23" width="3.85546875" style="65" bestFit="1" customWidth="1"/>
    <col min="24" max="25" width="9.28515625" style="65" customWidth="1"/>
    <col min="26" max="16384" width="9.140625" style="65"/>
  </cols>
  <sheetData>
    <row r="1" spans="2:16" s="63" customFormat="1" ht="77.25" customHeight="1" x14ac:dyDescent="0.25">
      <c r="B1" s="61"/>
      <c r="C1" s="62"/>
      <c r="D1" s="62"/>
      <c r="G1" s="62"/>
      <c r="J1" s="213" t="s">
        <v>717</v>
      </c>
      <c r="K1" s="213"/>
      <c r="L1" s="213"/>
      <c r="M1" s="213"/>
      <c r="N1" s="213"/>
      <c r="O1" s="213"/>
      <c r="P1" s="213"/>
    </row>
    <row r="2" spans="2:16" s="63" customFormat="1" ht="17.25" customHeight="1" x14ac:dyDescent="0.25">
      <c r="B2" s="61"/>
      <c r="C2" s="62"/>
      <c r="D2" s="62"/>
      <c r="G2" s="62"/>
      <c r="J2" s="64"/>
      <c r="K2" s="64"/>
      <c r="L2" s="64"/>
      <c r="M2" s="64"/>
      <c r="N2" s="64"/>
      <c r="O2" s="64"/>
      <c r="P2" s="64"/>
    </row>
    <row r="3" spans="2:16" ht="34.5" customHeight="1" x14ac:dyDescent="0.25">
      <c r="B3" s="214" t="s">
        <v>708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</row>
    <row r="4" spans="2:16" x14ac:dyDescent="0.25">
      <c r="M4" s="69"/>
    </row>
    <row r="5" spans="2:16" ht="15" customHeight="1" x14ac:dyDescent="0.25">
      <c r="B5" s="215" t="s">
        <v>910</v>
      </c>
      <c r="C5" s="218" t="s">
        <v>703</v>
      </c>
      <c r="D5" s="221" t="s">
        <v>704</v>
      </c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</row>
    <row r="6" spans="2:16" ht="18.75" customHeight="1" x14ac:dyDescent="0.25">
      <c r="B6" s="216"/>
      <c r="C6" s="219"/>
      <c r="D6" s="218" t="s">
        <v>1</v>
      </c>
      <c r="E6" s="221" t="s">
        <v>705</v>
      </c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2:16" ht="36.75" customHeight="1" x14ac:dyDescent="0.25">
      <c r="B7" s="217"/>
      <c r="C7" s="220"/>
      <c r="D7" s="220"/>
      <c r="E7" s="70">
        <v>2017</v>
      </c>
      <c r="F7" s="70">
        <v>2018</v>
      </c>
      <c r="G7" s="70">
        <v>2019</v>
      </c>
      <c r="H7" s="70"/>
      <c r="I7" s="70"/>
      <c r="J7" s="70">
        <v>2020</v>
      </c>
      <c r="K7" s="70"/>
      <c r="L7" s="70"/>
      <c r="M7" s="70">
        <v>2021</v>
      </c>
      <c r="N7" s="70"/>
      <c r="O7" s="70"/>
      <c r="P7" s="70">
        <v>2022</v>
      </c>
    </row>
    <row r="8" spans="2:16" s="72" customFormat="1" x14ac:dyDescent="0.25">
      <c r="B8" s="71">
        <v>1</v>
      </c>
      <c r="C8" s="71">
        <v>2</v>
      </c>
      <c r="D8" s="71">
        <v>3</v>
      </c>
      <c r="E8" s="71">
        <v>4</v>
      </c>
      <c r="F8" s="71">
        <v>5</v>
      </c>
      <c r="G8" s="71">
        <v>6</v>
      </c>
      <c r="H8" s="71"/>
      <c r="I8" s="71"/>
      <c r="J8" s="71">
        <v>7</v>
      </c>
      <c r="K8" s="71"/>
      <c r="L8" s="71"/>
      <c r="M8" s="71">
        <v>8</v>
      </c>
      <c r="N8" s="71"/>
      <c r="O8" s="71"/>
      <c r="P8" s="71">
        <v>9</v>
      </c>
    </row>
    <row r="9" spans="2:16" s="66" customFormat="1" ht="21.75" customHeight="1" x14ac:dyDescent="0.25">
      <c r="B9" s="225" t="s">
        <v>480</v>
      </c>
      <c r="C9" s="73" t="s">
        <v>706</v>
      </c>
      <c r="D9" s="74">
        <f>SUM(D10:D13)</f>
        <v>2620220.9196918514</v>
      </c>
      <c r="E9" s="74">
        <f>SUM(E10:E13)</f>
        <v>652310.30000000016</v>
      </c>
      <c r="F9" s="74">
        <f t="shared" ref="F9:P9" si="0">SUM(F10:F13)</f>
        <v>518415.30398625153</v>
      </c>
      <c r="G9" s="74">
        <f t="shared" si="0"/>
        <v>675098.2</v>
      </c>
      <c r="H9" s="74">
        <f t="shared" si="0"/>
        <v>0</v>
      </c>
      <c r="I9" s="74">
        <f t="shared" si="0"/>
        <v>0</v>
      </c>
      <c r="J9" s="74">
        <f t="shared" si="0"/>
        <v>273215.81570560002</v>
      </c>
      <c r="K9" s="74">
        <f t="shared" si="0"/>
        <v>0</v>
      </c>
      <c r="L9" s="74">
        <f t="shared" si="0"/>
        <v>0</v>
      </c>
      <c r="M9" s="74">
        <f t="shared" si="0"/>
        <v>289171.3</v>
      </c>
      <c r="N9" s="74">
        <f t="shared" si="0"/>
        <v>0</v>
      </c>
      <c r="O9" s="74">
        <f t="shared" si="0"/>
        <v>0</v>
      </c>
      <c r="P9" s="74">
        <f t="shared" si="0"/>
        <v>212010.00000000003</v>
      </c>
    </row>
    <row r="10" spans="2:16" ht="35.25" customHeight="1" x14ac:dyDescent="0.25">
      <c r="B10" s="226"/>
      <c r="C10" s="75" t="s">
        <v>33</v>
      </c>
      <c r="D10" s="76">
        <f>SUM(E10:P10)</f>
        <v>0</v>
      </c>
      <c r="E10" s="76">
        <f>E15+E20+E25+E30+E35+E40</f>
        <v>0</v>
      </c>
      <c r="F10" s="76">
        <f t="shared" ref="F10:P11" si="1">F15+F20+F25+F30+F35+F40</f>
        <v>0</v>
      </c>
      <c r="G10" s="76">
        <f t="shared" si="1"/>
        <v>0</v>
      </c>
      <c r="H10" s="76">
        <f t="shared" si="1"/>
        <v>0</v>
      </c>
      <c r="I10" s="76">
        <f t="shared" si="1"/>
        <v>0</v>
      </c>
      <c r="J10" s="76">
        <f t="shared" si="1"/>
        <v>0</v>
      </c>
      <c r="K10" s="76">
        <f t="shared" si="1"/>
        <v>0</v>
      </c>
      <c r="L10" s="76">
        <f t="shared" si="1"/>
        <v>0</v>
      </c>
      <c r="M10" s="76">
        <f t="shared" si="1"/>
        <v>0</v>
      </c>
      <c r="N10" s="76">
        <f t="shared" si="1"/>
        <v>0</v>
      </c>
      <c r="O10" s="76">
        <f t="shared" si="1"/>
        <v>0</v>
      </c>
      <c r="P10" s="76">
        <f t="shared" si="1"/>
        <v>0</v>
      </c>
    </row>
    <row r="11" spans="2:16" ht="35.25" customHeight="1" x14ac:dyDescent="0.25">
      <c r="B11" s="226"/>
      <c r="C11" s="77" t="s">
        <v>34</v>
      </c>
      <c r="D11" s="76">
        <f>SUM(E11:P11)</f>
        <v>254451.7</v>
      </c>
      <c r="E11" s="76">
        <f>E16+E21+E26+E31+E36+E41</f>
        <v>138959.70000000001</v>
      </c>
      <c r="F11" s="76">
        <f t="shared" si="1"/>
        <v>10000</v>
      </c>
      <c r="G11" s="76">
        <f t="shared" si="1"/>
        <v>105492</v>
      </c>
      <c r="H11" s="76">
        <f t="shared" si="1"/>
        <v>0</v>
      </c>
      <c r="I11" s="76">
        <f t="shared" si="1"/>
        <v>0</v>
      </c>
      <c r="J11" s="76">
        <f t="shared" si="1"/>
        <v>0</v>
      </c>
      <c r="K11" s="76">
        <f t="shared" si="1"/>
        <v>0</v>
      </c>
      <c r="L11" s="76">
        <f t="shared" si="1"/>
        <v>0</v>
      </c>
      <c r="M11" s="76">
        <f t="shared" si="1"/>
        <v>0</v>
      </c>
      <c r="N11" s="76">
        <f t="shared" si="1"/>
        <v>0</v>
      </c>
      <c r="O11" s="76">
        <f t="shared" si="1"/>
        <v>0</v>
      </c>
      <c r="P11" s="76">
        <f t="shared" si="1"/>
        <v>0</v>
      </c>
    </row>
    <row r="12" spans="2:16" ht="30" customHeight="1" x14ac:dyDescent="0.25">
      <c r="B12" s="226"/>
      <c r="C12" s="77" t="s">
        <v>29</v>
      </c>
      <c r="D12" s="76">
        <f>SUM(E12:P12)</f>
        <v>2363800.4196918514</v>
      </c>
      <c r="E12" s="76">
        <f t="shared" ref="E12:P13" si="2">E17+E22+E27+E32+E37+E42</f>
        <v>512837.20000000007</v>
      </c>
      <c r="F12" s="76">
        <f t="shared" si="2"/>
        <v>508309.40398625151</v>
      </c>
      <c r="G12" s="76">
        <f t="shared" si="2"/>
        <v>568689.69999999995</v>
      </c>
      <c r="H12" s="76">
        <f t="shared" si="2"/>
        <v>0</v>
      </c>
      <c r="I12" s="76">
        <f t="shared" si="2"/>
        <v>0</v>
      </c>
      <c r="J12" s="76">
        <f t="shared" si="2"/>
        <v>273215.81570560002</v>
      </c>
      <c r="K12" s="76">
        <f t="shared" si="2"/>
        <v>0</v>
      </c>
      <c r="L12" s="76">
        <f t="shared" si="2"/>
        <v>0</v>
      </c>
      <c r="M12" s="76">
        <f t="shared" si="2"/>
        <v>288738.3</v>
      </c>
      <c r="N12" s="76">
        <f t="shared" si="2"/>
        <v>0</v>
      </c>
      <c r="O12" s="76">
        <f t="shared" si="2"/>
        <v>0</v>
      </c>
      <c r="P12" s="76">
        <f t="shared" si="2"/>
        <v>212010.00000000003</v>
      </c>
    </row>
    <row r="13" spans="2:16" ht="33" customHeight="1" x14ac:dyDescent="0.25">
      <c r="B13" s="227"/>
      <c r="C13" s="77" t="s">
        <v>707</v>
      </c>
      <c r="D13" s="76">
        <f>SUM(E13:P13)</f>
        <v>1968.8000000000002</v>
      </c>
      <c r="E13" s="76">
        <f t="shared" si="2"/>
        <v>513.40000000000009</v>
      </c>
      <c r="F13" s="76">
        <f t="shared" si="2"/>
        <v>105.9</v>
      </c>
      <c r="G13" s="76">
        <f t="shared" si="2"/>
        <v>916.5</v>
      </c>
      <c r="H13" s="76">
        <f t="shared" si="2"/>
        <v>0</v>
      </c>
      <c r="I13" s="76">
        <f t="shared" si="2"/>
        <v>0</v>
      </c>
      <c r="J13" s="76">
        <f t="shared" si="2"/>
        <v>0</v>
      </c>
      <c r="K13" s="76">
        <f t="shared" si="2"/>
        <v>0</v>
      </c>
      <c r="L13" s="76">
        <f t="shared" si="2"/>
        <v>0</v>
      </c>
      <c r="M13" s="76">
        <f t="shared" si="2"/>
        <v>433</v>
      </c>
      <c r="N13" s="76">
        <f t="shared" si="2"/>
        <v>0</v>
      </c>
      <c r="O13" s="76">
        <f t="shared" si="2"/>
        <v>0</v>
      </c>
      <c r="P13" s="76">
        <f t="shared" si="2"/>
        <v>0</v>
      </c>
    </row>
    <row r="14" spans="2:16" ht="16.5" customHeight="1" x14ac:dyDescent="0.25">
      <c r="B14" s="222" t="s">
        <v>7</v>
      </c>
      <c r="C14" s="73" t="s">
        <v>706</v>
      </c>
      <c r="D14" s="74">
        <f>SUM(D15:D18)</f>
        <v>260355.19999999998</v>
      </c>
      <c r="E14" s="74">
        <f>SUM(E15:E18)</f>
        <v>57541.299999999996</v>
      </c>
      <c r="F14" s="74">
        <f t="shared" ref="F14:P14" si="3">SUM(F15:F18)</f>
        <v>53462.3</v>
      </c>
      <c r="G14" s="74">
        <f t="shared" si="3"/>
        <v>47223.4</v>
      </c>
      <c r="H14" s="74">
        <f t="shared" si="3"/>
        <v>0</v>
      </c>
      <c r="I14" s="74">
        <f t="shared" si="3"/>
        <v>0</v>
      </c>
      <c r="J14" s="74">
        <f t="shared" si="3"/>
        <v>68290.600000000006</v>
      </c>
      <c r="K14" s="74">
        <f t="shared" si="3"/>
        <v>0</v>
      </c>
      <c r="L14" s="74">
        <f t="shared" si="3"/>
        <v>0</v>
      </c>
      <c r="M14" s="74">
        <f t="shared" si="3"/>
        <v>33837.600000000006</v>
      </c>
      <c r="N14" s="74">
        <f t="shared" si="3"/>
        <v>0</v>
      </c>
      <c r="O14" s="74">
        <f t="shared" si="3"/>
        <v>0</v>
      </c>
      <c r="P14" s="74">
        <f t="shared" si="3"/>
        <v>0</v>
      </c>
    </row>
    <row r="15" spans="2:16" ht="35.25" customHeight="1" x14ac:dyDescent="0.25">
      <c r="B15" s="223"/>
      <c r="C15" s="75" t="s">
        <v>33</v>
      </c>
      <c r="D15" s="76">
        <f>SUM(E15:P15)</f>
        <v>0</v>
      </c>
      <c r="E15" s="76">
        <f>'Приложение 2-ТЭО'!K10</f>
        <v>0</v>
      </c>
      <c r="F15" s="76">
        <f>'Приложение 2-ТЭО'!P10</f>
        <v>0</v>
      </c>
      <c r="G15" s="76">
        <f>'Приложение 2-ТЭО'!U10</f>
        <v>0</v>
      </c>
      <c r="H15" s="76"/>
      <c r="I15" s="76"/>
      <c r="J15" s="76">
        <f>'Приложение 2-ТЭО'!Z10</f>
        <v>0</v>
      </c>
      <c r="K15" s="76"/>
      <c r="L15" s="76"/>
      <c r="M15" s="76">
        <f>'Приложение 2-ТЭО'!AE10</f>
        <v>0</v>
      </c>
      <c r="N15" s="76"/>
      <c r="O15" s="76"/>
      <c r="P15" s="76">
        <f>'Приложение 2-ТЭО'!AJ10</f>
        <v>0</v>
      </c>
    </row>
    <row r="16" spans="2:16" ht="35.25" customHeight="1" x14ac:dyDescent="0.25">
      <c r="B16" s="223"/>
      <c r="C16" s="77" t="s">
        <v>34</v>
      </c>
      <c r="D16" s="76">
        <f>SUM(E16:P16)</f>
        <v>6170.3</v>
      </c>
      <c r="E16" s="76">
        <f>'Приложение 2-ТЭО'!L10</f>
        <v>6170.3</v>
      </c>
      <c r="F16" s="76">
        <f>'Приложение 2-ТЭО'!Q10</f>
        <v>0</v>
      </c>
      <c r="G16" s="76">
        <f>'Приложение 2-ТЭО'!V10</f>
        <v>0</v>
      </c>
      <c r="H16" s="76"/>
      <c r="I16" s="76"/>
      <c r="J16" s="76">
        <f>'Приложение 2-ТЭО'!AA10</f>
        <v>0</v>
      </c>
      <c r="K16" s="76"/>
      <c r="L16" s="76"/>
      <c r="M16" s="76">
        <f>'Приложение 2-ТЭО'!AF10</f>
        <v>0</v>
      </c>
      <c r="N16" s="76"/>
      <c r="O16" s="76"/>
      <c r="P16" s="76">
        <f>'Приложение 2-ТЭО'!AK10</f>
        <v>0</v>
      </c>
    </row>
    <row r="17" spans="2:16" ht="30" customHeight="1" x14ac:dyDescent="0.25">
      <c r="B17" s="223"/>
      <c r="C17" s="77" t="s">
        <v>29</v>
      </c>
      <c r="D17" s="76">
        <f>SUM(E17:P17)</f>
        <v>254184.9</v>
      </c>
      <c r="E17" s="76">
        <f>'Приложение 2-ТЭО'!M10</f>
        <v>51370.999999999993</v>
      </c>
      <c r="F17" s="76">
        <f>'Приложение 2-ТЭО'!R10</f>
        <v>53462.3</v>
      </c>
      <c r="G17" s="76">
        <f>'Приложение 2-ТЭО'!W10</f>
        <v>47223.4</v>
      </c>
      <c r="H17" s="76"/>
      <c r="I17" s="76"/>
      <c r="J17" s="76">
        <f>'Приложение 2-ТЭО'!AB10</f>
        <v>68290.600000000006</v>
      </c>
      <c r="K17" s="76"/>
      <c r="L17" s="76"/>
      <c r="M17" s="76">
        <f>'Приложение 2-ТЭО'!AG10</f>
        <v>33837.600000000006</v>
      </c>
      <c r="N17" s="76"/>
      <c r="O17" s="76"/>
      <c r="P17" s="76">
        <f>'Приложение 2-ТЭО'!AL10</f>
        <v>0</v>
      </c>
    </row>
    <row r="18" spans="2:16" ht="33" customHeight="1" x14ac:dyDescent="0.25">
      <c r="B18" s="224"/>
      <c r="C18" s="77" t="s">
        <v>707</v>
      </c>
      <c r="D18" s="76">
        <f>SUM(E18:P18)</f>
        <v>0</v>
      </c>
      <c r="E18" s="76">
        <f>'Приложение 2-ТЭО'!N10</f>
        <v>0</v>
      </c>
      <c r="F18" s="76">
        <f>'Приложение 2-ТЭО'!S10</f>
        <v>0</v>
      </c>
      <c r="G18" s="76">
        <f>'Приложение 2-ТЭО'!X10</f>
        <v>0</v>
      </c>
      <c r="H18" s="76"/>
      <c r="I18" s="76"/>
      <c r="J18" s="76">
        <f>'Приложение 2-ТЭО'!AC10</f>
        <v>0</v>
      </c>
      <c r="K18" s="76"/>
      <c r="L18" s="76"/>
      <c r="M18" s="76">
        <f>'Приложение 2-ТЭО'!AH10</f>
        <v>0</v>
      </c>
      <c r="N18" s="76"/>
      <c r="O18" s="76"/>
      <c r="P18" s="76">
        <f>'Приложение 2-ТЭО'!AM10</f>
        <v>0</v>
      </c>
    </row>
    <row r="19" spans="2:16" ht="19.5" customHeight="1" x14ac:dyDescent="0.25">
      <c r="B19" s="222" t="s">
        <v>412</v>
      </c>
      <c r="C19" s="74" t="s">
        <v>706</v>
      </c>
      <c r="D19" s="74">
        <f>SUM(D20:D23)</f>
        <v>268684.20398625155</v>
      </c>
      <c r="E19" s="74">
        <f>SUM(E20:E23)</f>
        <v>51234.900000000009</v>
      </c>
      <c r="F19" s="74">
        <f t="shared" ref="F19:P19" si="4">SUM(F20:F23)</f>
        <v>29151.103986251528</v>
      </c>
      <c r="G19" s="74">
        <f t="shared" si="4"/>
        <v>130723.09999999999</v>
      </c>
      <c r="H19" s="74">
        <f t="shared" si="4"/>
        <v>0</v>
      </c>
      <c r="I19" s="74">
        <f t="shared" si="4"/>
        <v>0</v>
      </c>
      <c r="J19" s="74">
        <f t="shared" si="4"/>
        <v>18703.200000000004</v>
      </c>
      <c r="K19" s="74">
        <f t="shared" si="4"/>
        <v>0</v>
      </c>
      <c r="L19" s="74">
        <f t="shared" si="4"/>
        <v>0</v>
      </c>
      <c r="M19" s="74">
        <f t="shared" si="4"/>
        <v>19451.2</v>
      </c>
      <c r="N19" s="74">
        <f t="shared" si="4"/>
        <v>0</v>
      </c>
      <c r="O19" s="74">
        <f t="shared" si="4"/>
        <v>0</v>
      </c>
      <c r="P19" s="74">
        <f t="shared" si="4"/>
        <v>19420.7</v>
      </c>
    </row>
    <row r="20" spans="2:16" ht="35.25" customHeight="1" x14ac:dyDescent="0.25">
      <c r="B20" s="223"/>
      <c r="C20" s="75" t="s">
        <v>33</v>
      </c>
      <c r="D20" s="76">
        <f>SUM(E20:P20)</f>
        <v>0</v>
      </c>
      <c r="E20" s="76">
        <f>'Приложение 2-ТЭО'!K115</f>
        <v>0</v>
      </c>
      <c r="F20" s="76">
        <f>'Приложение 2-ТЭО'!P115</f>
        <v>0</v>
      </c>
      <c r="G20" s="76">
        <f>'Приложение 2-ТЭО'!U115</f>
        <v>0</v>
      </c>
      <c r="H20" s="76"/>
      <c r="I20" s="76"/>
      <c r="J20" s="76">
        <f>'Приложение 2-ТЭО'!Z115</f>
        <v>0</v>
      </c>
      <c r="K20" s="76"/>
      <c r="L20" s="76"/>
      <c r="M20" s="76">
        <f>'Приложение 2-ТЭО'!AE115</f>
        <v>0</v>
      </c>
      <c r="N20" s="76"/>
      <c r="O20" s="76"/>
      <c r="P20" s="76">
        <f>'Приложение 2-ТЭО'!AJ115</f>
        <v>0</v>
      </c>
    </row>
    <row r="21" spans="2:16" ht="35.25" customHeight="1" x14ac:dyDescent="0.25">
      <c r="B21" s="223"/>
      <c r="C21" s="77" t="s">
        <v>34</v>
      </c>
      <c r="D21" s="76">
        <f>SUM(E21:P21)</f>
        <v>68785.3</v>
      </c>
      <c r="E21" s="76">
        <f>'Приложение 2-ТЭО'!L115</f>
        <v>6177.8</v>
      </c>
      <c r="F21" s="76">
        <f>'Приложение 2-ТЭО'!Q115</f>
        <v>0</v>
      </c>
      <c r="G21" s="76">
        <f>'Приложение 2-ТЭО'!V115</f>
        <v>62607.5</v>
      </c>
      <c r="H21" s="76"/>
      <c r="I21" s="76"/>
      <c r="J21" s="76">
        <f>'Приложение 2-ТЭО'!AA115</f>
        <v>0</v>
      </c>
      <c r="K21" s="76"/>
      <c r="L21" s="76"/>
      <c r="M21" s="76">
        <f>'Приложение 2-ТЭО'!AF115</f>
        <v>0</v>
      </c>
      <c r="N21" s="76"/>
      <c r="O21" s="76"/>
      <c r="P21" s="76">
        <f>'Приложение 2-ТЭО'!AK115</f>
        <v>0</v>
      </c>
    </row>
    <row r="22" spans="2:16" ht="30" customHeight="1" x14ac:dyDescent="0.25">
      <c r="B22" s="223"/>
      <c r="C22" s="77" t="s">
        <v>29</v>
      </c>
      <c r="D22" s="76">
        <f>SUM(E22:P22)</f>
        <v>199898.90398625156</v>
      </c>
      <c r="E22" s="76">
        <f>'Приложение 2-ТЭО'!M115</f>
        <v>45057.100000000006</v>
      </c>
      <c r="F22" s="76">
        <f>'Приложение 2-ТЭО'!R115</f>
        <v>29151.103986251528</v>
      </c>
      <c r="G22" s="76">
        <f>'Приложение 2-ТЭО'!W115</f>
        <v>68115.599999999991</v>
      </c>
      <c r="H22" s="76"/>
      <c r="I22" s="76"/>
      <c r="J22" s="76">
        <f>'Приложение 2-ТЭО'!AB115</f>
        <v>18703.200000000004</v>
      </c>
      <c r="K22" s="76"/>
      <c r="L22" s="76"/>
      <c r="M22" s="76">
        <f>'Приложение 2-ТЭО'!AG115</f>
        <v>19451.2</v>
      </c>
      <c r="N22" s="76"/>
      <c r="O22" s="76"/>
      <c r="P22" s="76">
        <f>'Приложение 2-ТЭО'!AL115</f>
        <v>19420.7</v>
      </c>
    </row>
    <row r="23" spans="2:16" ht="33" customHeight="1" x14ac:dyDescent="0.25">
      <c r="B23" s="224"/>
      <c r="C23" s="77" t="s">
        <v>707</v>
      </c>
      <c r="D23" s="76">
        <f>SUM(E23:P23)</f>
        <v>0</v>
      </c>
      <c r="E23" s="76">
        <f>'Приложение 2-ТЭО'!N115</f>
        <v>0</v>
      </c>
      <c r="F23" s="76">
        <f>'Приложение 2-ТЭО'!S115</f>
        <v>0</v>
      </c>
      <c r="G23" s="76">
        <f>'Приложение 2-ТЭО'!X115</f>
        <v>0</v>
      </c>
      <c r="H23" s="76"/>
      <c r="I23" s="76"/>
      <c r="J23" s="76">
        <f>'Приложение 2-ТЭО'!AC115</f>
        <v>0</v>
      </c>
      <c r="K23" s="76"/>
      <c r="L23" s="76"/>
      <c r="M23" s="76">
        <f>'Приложение 2-ТЭО'!AH115</f>
        <v>0</v>
      </c>
      <c r="N23" s="76"/>
      <c r="O23" s="76"/>
      <c r="P23" s="76">
        <f>'Приложение 2-ТЭО'!AM115</f>
        <v>0</v>
      </c>
    </row>
    <row r="24" spans="2:16" ht="15.75" customHeight="1" x14ac:dyDescent="0.25">
      <c r="B24" s="222" t="s">
        <v>3</v>
      </c>
      <c r="C24" s="73" t="s">
        <v>706</v>
      </c>
      <c r="D24" s="74">
        <f>SUM(D25:D28)</f>
        <v>225395.1</v>
      </c>
      <c r="E24" s="74">
        <f>SUM(E25:E28)</f>
        <v>44560.100000000006</v>
      </c>
      <c r="F24" s="74">
        <f t="shared" ref="F24:P24" si="5">SUM(F25:F28)</f>
        <v>8837</v>
      </c>
      <c r="G24" s="74">
        <f t="shared" si="5"/>
        <v>128704.8</v>
      </c>
      <c r="H24" s="74">
        <f t="shared" si="5"/>
        <v>0</v>
      </c>
      <c r="I24" s="74">
        <f t="shared" si="5"/>
        <v>0</v>
      </c>
      <c r="J24" s="74">
        <f t="shared" si="5"/>
        <v>0</v>
      </c>
      <c r="K24" s="74">
        <f t="shared" si="5"/>
        <v>0</v>
      </c>
      <c r="L24" s="74">
        <f t="shared" si="5"/>
        <v>0</v>
      </c>
      <c r="M24" s="74">
        <f t="shared" si="5"/>
        <v>43293.2</v>
      </c>
      <c r="N24" s="74">
        <f t="shared" si="5"/>
        <v>0</v>
      </c>
      <c r="O24" s="74">
        <f t="shared" si="5"/>
        <v>0</v>
      </c>
      <c r="P24" s="74">
        <f t="shared" si="5"/>
        <v>0</v>
      </c>
    </row>
    <row r="25" spans="2:16" ht="35.25" customHeight="1" x14ac:dyDescent="0.25">
      <c r="B25" s="223"/>
      <c r="C25" s="75" t="s">
        <v>33</v>
      </c>
      <c r="D25" s="76">
        <f>SUM(E25:P25)</f>
        <v>0</v>
      </c>
      <c r="E25" s="76">
        <f>'Приложение 2-ТЭО'!K202</f>
        <v>0</v>
      </c>
      <c r="F25" s="76">
        <f>'Приложение 2-ТЭО'!P202</f>
        <v>0</v>
      </c>
      <c r="G25" s="76">
        <f>'Приложение 2-ТЭО'!U202</f>
        <v>0</v>
      </c>
      <c r="H25" s="76"/>
      <c r="I25" s="76"/>
      <c r="J25" s="76">
        <f>'Приложение 2-ТЭО'!Z202</f>
        <v>0</v>
      </c>
      <c r="K25" s="76"/>
      <c r="L25" s="76"/>
      <c r="M25" s="76">
        <f>'Приложение 2-ТЭО'!AE202</f>
        <v>0</v>
      </c>
      <c r="N25" s="76"/>
      <c r="O25" s="76"/>
      <c r="P25" s="76">
        <f>'Приложение 2-ТЭО'!AJ202</f>
        <v>0</v>
      </c>
    </row>
    <row r="26" spans="2:16" ht="35.25" customHeight="1" x14ac:dyDescent="0.25">
      <c r="B26" s="223"/>
      <c r="C26" s="77" t="s">
        <v>34</v>
      </c>
      <c r="D26" s="76">
        <f>SUM(E26:P26)</f>
        <v>13201.7</v>
      </c>
      <c r="E26" s="76">
        <f>'Приложение 2-ТЭО'!L202</f>
        <v>0</v>
      </c>
      <c r="F26" s="76">
        <f>'Приложение 2-ТЭО'!Q202</f>
        <v>0</v>
      </c>
      <c r="G26" s="76">
        <f>'Приложение 2-ТЭО'!V202</f>
        <v>13201.7</v>
      </c>
      <c r="H26" s="76"/>
      <c r="I26" s="76"/>
      <c r="J26" s="76">
        <f>'Приложение 2-ТЭО'!AA202</f>
        <v>0</v>
      </c>
      <c r="K26" s="76"/>
      <c r="L26" s="76"/>
      <c r="M26" s="76">
        <f>'Приложение 2-ТЭО'!AF202</f>
        <v>0</v>
      </c>
      <c r="N26" s="76"/>
      <c r="O26" s="76"/>
      <c r="P26" s="76">
        <f>'Приложение 2-ТЭО'!AK202</f>
        <v>0</v>
      </c>
    </row>
    <row r="27" spans="2:16" ht="30" customHeight="1" x14ac:dyDescent="0.25">
      <c r="B27" s="223"/>
      <c r="C27" s="77" t="s">
        <v>29</v>
      </c>
      <c r="D27" s="76">
        <f>SUM(E27:P27)</f>
        <v>210734.5</v>
      </c>
      <c r="E27" s="76">
        <f>'Приложение 2-ТЭО'!M202</f>
        <v>44479.8</v>
      </c>
      <c r="F27" s="76">
        <f>'Приложение 2-ТЭО'!R202</f>
        <v>8791.7000000000007</v>
      </c>
      <c r="G27" s="76">
        <f>'Приложение 2-ТЭО'!W202</f>
        <v>114602.8</v>
      </c>
      <c r="H27" s="76"/>
      <c r="I27" s="76"/>
      <c r="J27" s="76">
        <f>'Приложение 2-ТЭО'!AB202</f>
        <v>0</v>
      </c>
      <c r="K27" s="76"/>
      <c r="L27" s="76"/>
      <c r="M27" s="76">
        <f>'Приложение 2-ТЭО'!AG202</f>
        <v>42860.2</v>
      </c>
      <c r="N27" s="76"/>
      <c r="O27" s="76"/>
      <c r="P27" s="76">
        <f>'Приложение 2-ТЭО'!AL202</f>
        <v>0</v>
      </c>
    </row>
    <row r="28" spans="2:16" ht="33" customHeight="1" x14ac:dyDescent="0.25">
      <c r="B28" s="224"/>
      <c r="C28" s="77" t="s">
        <v>707</v>
      </c>
      <c r="D28" s="76">
        <f>SUM(E28:P28)</f>
        <v>1458.8999999999999</v>
      </c>
      <c r="E28" s="76">
        <f>'Приложение 2-ТЭО'!N202</f>
        <v>80.3</v>
      </c>
      <c r="F28" s="76">
        <f>'Приложение 2-ТЭО'!S202</f>
        <v>45.3</v>
      </c>
      <c r="G28" s="76">
        <f>'Приложение 2-ТЭО'!X202</f>
        <v>900.3</v>
      </c>
      <c r="H28" s="76"/>
      <c r="I28" s="76"/>
      <c r="J28" s="76">
        <f>'Приложение 2-ТЭО'!AC202</f>
        <v>0</v>
      </c>
      <c r="K28" s="76"/>
      <c r="L28" s="76"/>
      <c r="M28" s="76">
        <f>'Приложение 2-ТЭО'!AH202</f>
        <v>433</v>
      </c>
      <c r="N28" s="76"/>
      <c r="O28" s="76"/>
      <c r="P28" s="76">
        <f>'Приложение 2-ТЭО'!AM202</f>
        <v>0</v>
      </c>
    </row>
    <row r="29" spans="2:16" ht="15.75" customHeight="1" x14ac:dyDescent="0.25">
      <c r="B29" s="222" t="s">
        <v>4</v>
      </c>
      <c r="C29" s="73" t="s">
        <v>706</v>
      </c>
      <c r="D29" s="74">
        <f>SUM(D30:D33)</f>
        <v>285380.9157056</v>
      </c>
      <c r="E29" s="74">
        <f>SUM(E30:E33)</f>
        <v>117589.90000000002</v>
      </c>
      <c r="F29" s="74">
        <f t="shared" ref="F29:P29" si="6">SUM(F30:F33)</f>
        <v>124278.2</v>
      </c>
      <c r="G29" s="74">
        <f t="shared" si="6"/>
        <v>38170.699999999997</v>
      </c>
      <c r="H29" s="74">
        <f t="shared" si="6"/>
        <v>0</v>
      </c>
      <c r="I29" s="74">
        <f t="shared" si="6"/>
        <v>0</v>
      </c>
      <c r="J29" s="74">
        <f t="shared" si="6"/>
        <v>1734.5157056</v>
      </c>
      <c r="K29" s="74">
        <f t="shared" si="6"/>
        <v>0</v>
      </c>
      <c r="L29" s="74">
        <f t="shared" si="6"/>
        <v>0</v>
      </c>
      <c r="M29" s="74">
        <f t="shared" si="6"/>
        <v>1803.8000000000002</v>
      </c>
      <c r="N29" s="74">
        <f t="shared" si="6"/>
        <v>0</v>
      </c>
      <c r="O29" s="74">
        <f t="shared" si="6"/>
        <v>0</v>
      </c>
      <c r="P29" s="74">
        <f t="shared" si="6"/>
        <v>1803.8000000000002</v>
      </c>
    </row>
    <row r="30" spans="2:16" ht="35.25" customHeight="1" x14ac:dyDescent="0.25">
      <c r="B30" s="223"/>
      <c r="C30" s="75" t="s">
        <v>33</v>
      </c>
      <c r="D30" s="76">
        <f>SUM(E30:P30)</f>
        <v>0</v>
      </c>
      <c r="E30" s="76">
        <f>'Приложение 2-ТЭО'!K237</f>
        <v>0</v>
      </c>
      <c r="F30" s="76">
        <f>'Приложение 2-ТЭО'!P237</f>
        <v>0</v>
      </c>
      <c r="G30" s="76">
        <f>'Приложение 2-ТЭО'!U237</f>
        <v>0</v>
      </c>
      <c r="H30" s="76"/>
      <c r="I30" s="76"/>
      <c r="J30" s="76">
        <f>'Приложение 2-ТЭО'!Z237</f>
        <v>0</v>
      </c>
      <c r="K30" s="76"/>
      <c r="L30" s="76"/>
      <c r="M30" s="76">
        <f>'Приложение 2-ТЭО'!AE237</f>
        <v>0</v>
      </c>
      <c r="N30" s="76"/>
      <c r="O30" s="76"/>
      <c r="P30" s="76">
        <f>'Приложение 2-ТЭО'!AJ237</f>
        <v>0</v>
      </c>
    </row>
    <row r="31" spans="2:16" ht="35.25" customHeight="1" x14ac:dyDescent="0.25">
      <c r="B31" s="223"/>
      <c r="C31" s="77" t="s">
        <v>34</v>
      </c>
      <c r="D31" s="76">
        <f>SUM(E31:P31)</f>
        <v>32207.7</v>
      </c>
      <c r="E31" s="76">
        <f>'Приложение 2-ТЭО'!L237</f>
        <v>10000</v>
      </c>
      <c r="F31" s="76">
        <f>'Приложение 2-ТЭО'!Q237</f>
        <v>10000</v>
      </c>
      <c r="G31" s="76">
        <f>'Приложение 2-ТЭО'!V237</f>
        <v>12207.7</v>
      </c>
      <c r="H31" s="76"/>
      <c r="I31" s="76"/>
      <c r="J31" s="76">
        <f>'Приложение 2-ТЭО'!AA237</f>
        <v>0</v>
      </c>
      <c r="K31" s="76"/>
      <c r="L31" s="76"/>
      <c r="M31" s="76">
        <f>'Приложение 2-ТЭО'!AF237</f>
        <v>0</v>
      </c>
      <c r="N31" s="76"/>
      <c r="O31" s="76"/>
      <c r="P31" s="76">
        <f>'Приложение 2-ТЭО'!AK237</f>
        <v>0</v>
      </c>
    </row>
    <row r="32" spans="2:16" ht="30" customHeight="1" x14ac:dyDescent="0.25">
      <c r="B32" s="223"/>
      <c r="C32" s="77" t="s">
        <v>29</v>
      </c>
      <c r="D32" s="76">
        <f>SUM(E32:P32)</f>
        <v>252666.31570559999</v>
      </c>
      <c r="E32" s="76">
        <f>'Приложение 2-ТЭО'!M237</f>
        <v>107159.80000000002</v>
      </c>
      <c r="F32" s="76">
        <f>'Приложение 2-ТЭО'!R237</f>
        <v>114217.59999999999</v>
      </c>
      <c r="G32" s="76">
        <f>'Приложение 2-ТЭО'!W237</f>
        <v>25946.800000000003</v>
      </c>
      <c r="H32" s="76"/>
      <c r="I32" s="76"/>
      <c r="J32" s="76">
        <f>'Приложение 2-ТЭО'!AB237</f>
        <v>1734.5157056</v>
      </c>
      <c r="K32" s="76"/>
      <c r="L32" s="76"/>
      <c r="M32" s="76">
        <f>'Приложение 2-ТЭО'!AG237</f>
        <v>1803.8000000000002</v>
      </c>
      <c r="N32" s="76"/>
      <c r="O32" s="76"/>
      <c r="P32" s="76">
        <f>'Приложение 2-ТЭО'!AL237</f>
        <v>1803.8000000000002</v>
      </c>
    </row>
    <row r="33" spans="2:16" ht="33" customHeight="1" x14ac:dyDescent="0.25">
      <c r="B33" s="224"/>
      <c r="C33" s="77" t="s">
        <v>707</v>
      </c>
      <c r="D33" s="76">
        <f>SUM(E33:P33)</f>
        <v>506.90000000000003</v>
      </c>
      <c r="E33" s="76">
        <f>'Приложение 2-ТЭО'!N237</f>
        <v>430.1</v>
      </c>
      <c r="F33" s="76">
        <f>'Приложение 2-ТЭО'!S237</f>
        <v>60.6</v>
      </c>
      <c r="G33" s="76">
        <f>'Приложение 2-ТЭО'!X237</f>
        <v>16.2</v>
      </c>
      <c r="H33" s="76"/>
      <c r="I33" s="76"/>
      <c r="J33" s="76">
        <f>'Приложение 2-ТЭО'!AC237</f>
        <v>0</v>
      </c>
      <c r="K33" s="76"/>
      <c r="L33" s="76"/>
      <c r="M33" s="76">
        <f>'Приложение 2-ТЭО'!AH237</f>
        <v>0</v>
      </c>
      <c r="N33" s="76"/>
      <c r="O33" s="76"/>
      <c r="P33" s="76">
        <f>'Приложение 2-ТЭО'!AM237</f>
        <v>0</v>
      </c>
    </row>
    <row r="34" spans="2:16" ht="15.75" customHeight="1" x14ac:dyDescent="0.25">
      <c r="B34" s="222" t="s">
        <v>426</v>
      </c>
      <c r="C34" s="73" t="s">
        <v>706</v>
      </c>
      <c r="D34" s="74">
        <f>SUM(D35:D38)</f>
        <v>1414313.7999999998</v>
      </c>
      <c r="E34" s="74">
        <f>SUM(E35:E38)</f>
        <v>369720.5</v>
      </c>
      <c r="F34" s="74">
        <f t="shared" ref="F34:P34" si="7">SUM(F35:F38)</f>
        <v>235809.39999999997</v>
      </c>
      <c r="G34" s="74">
        <f t="shared" si="7"/>
        <v>253359.3</v>
      </c>
      <c r="H34" s="74">
        <f t="shared" si="7"/>
        <v>0</v>
      </c>
      <c r="I34" s="74">
        <f t="shared" si="7"/>
        <v>0</v>
      </c>
      <c r="J34" s="74">
        <f>SUM(J35:J38)</f>
        <v>180951.8</v>
      </c>
      <c r="K34" s="74">
        <f t="shared" si="7"/>
        <v>0</v>
      </c>
      <c r="L34" s="74">
        <f t="shared" si="7"/>
        <v>0</v>
      </c>
      <c r="M34" s="74">
        <f t="shared" si="7"/>
        <v>187236.40000000002</v>
      </c>
      <c r="N34" s="74">
        <f t="shared" si="7"/>
        <v>0</v>
      </c>
      <c r="O34" s="74">
        <f t="shared" si="7"/>
        <v>0</v>
      </c>
      <c r="P34" s="74">
        <f t="shared" si="7"/>
        <v>187236.40000000002</v>
      </c>
    </row>
    <row r="35" spans="2:16" ht="35.25" customHeight="1" x14ac:dyDescent="0.25">
      <c r="B35" s="223"/>
      <c r="C35" s="75" t="s">
        <v>33</v>
      </c>
      <c r="D35" s="76">
        <f>SUM(E35:P35)</f>
        <v>0</v>
      </c>
      <c r="E35" s="76">
        <f>'Приложение 2-ТЭО'!K286</f>
        <v>0</v>
      </c>
      <c r="F35" s="76">
        <f>'Приложение 2-ТЭО'!P286</f>
        <v>0</v>
      </c>
      <c r="G35" s="76">
        <f>'Приложение 2-ТЭО'!U286</f>
        <v>0</v>
      </c>
      <c r="H35" s="76"/>
      <c r="I35" s="76"/>
      <c r="J35" s="76">
        <f>'Приложение 2-ТЭО'!Z286</f>
        <v>0</v>
      </c>
      <c r="K35" s="76"/>
      <c r="L35" s="76"/>
      <c r="M35" s="76">
        <f>'Приложение 2-ТЭО'!AE286</f>
        <v>0</v>
      </c>
      <c r="N35" s="76"/>
      <c r="O35" s="76"/>
      <c r="P35" s="76">
        <f>'Приложение 2-ТЭО'!AJ286</f>
        <v>0</v>
      </c>
    </row>
    <row r="36" spans="2:16" ht="35.25" customHeight="1" x14ac:dyDescent="0.25">
      <c r="B36" s="223"/>
      <c r="C36" s="77" t="s">
        <v>34</v>
      </c>
      <c r="D36" s="76">
        <f>SUM(E36:P36)</f>
        <v>116611.6</v>
      </c>
      <c r="E36" s="76">
        <f>'Приложение 2-ТЭО'!L286</f>
        <v>116611.6</v>
      </c>
      <c r="F36" s="76">
        <f>'Приложение 2-ТЭО'!Q286</f>
        <v>0</v>
      </c>
      <c r="G36" s="76">
        <f>'Приложение 2-ТЭО'!V286</f>
        <v>0</v>
      </c>
      <c r="H36" s="76"/>
      <c r="I36" s="76"/>
      <c r="J36" s="76">
        <f>'Приложение 2-ТЭО'!AA286</f>
        <v>0</v>
      </c>
      <c r="K36" s="76"/>
      <c r="L36" s="76"/>
      <c r="M36" s="76">
        <f>'Приложение 2-ТЭО'!AF286</f>
        <v>0</v>
      </c>
      <c r="N36" s="76"/>
      <c r="O36" s="76"/>
      <c r="P36" s="76">
        <f>'Приложение 2-ТЭО'!AK286</f>
        <v>0</v>
      </c>
    </row>
    <row r="37" spans="2:16" ht="30" customHeight="1" x14ac:dyDescent="0.25">
      <c r="B37" s="223"/>
      <c r="C37" s="77" t="s">
        <v>29</v>
      </c>
      <c r="D37" s="76">
        <f>SUM(E37:P37)</f>
        <v>1297702.1999999997</v>
      </c>
      <c r="E37" s="76">
        <f>'Приложение 2-ТЭО'!M286</f>
        <v>253108.90000000002</v>
      </c>
      <c r="F37" s="76">
        <f>'Приложение 2-ТЭО'!R286</f>
        <v>235809.39999999997</v>
      </c>
      <c r="G37" s="76">
        <f>'Приложение 2-ТЭО'!W286</f>
        <v>253359.3</v>
      </c>
      <c r="H37" s="76"/>
      <c r="I37" s="76"/>
      <c r="J37" s="76">
        <f>'Приложение 2-ТЭО'!AB286</f>
        <v>180951.8</v>
      </c>
      <c r="K37" s="76"/>
      <c r="L37" s="76"/>
      <c r="M37" s="76">
        <f>'Приложение 2-ТЭО'!AG286</f>
        <v>187236.40000000002</v>
      </c>
      <c r="N37" s="76"/>
      <c r="O37" s="76"/>
      <c r="P37" s="76">
        <f>'Приложение 2-ТЭО'!AL286</f>
        <v>187236.40000000002</v>
      </c>
    </row>
    <row r="38" spans="2:16" ht="33" customHeight="1" x14ac:dyDescent="0.25">
      <c r="B38" s="224"/>
      <c r="C38" s="77" t="s">
        <v>707</v>
      </c>
      <c r="D38" s="76">
        <f>SUM(E38:P38)</f>
        <v>0</v>
      </c>
      <c r="E38" s="76">
        <f>'Приложение 2-ТЭО'!N286</f>
        <v>0</v>
      </c>
      <c r="F38" s="76">
        <f>'Приложение 2-ТЭО'!S286</f>
        <v>0</v>
      </c>
      <c r="G38" s="76">
        <f>'Приложение 2-ТЭО'!X286</f>
        <v>0</v>
      </c>
      <c r="H38" s="76"/>
      <c r="I38" s="76"/>
      <c r="J38" s="76">
        <f>'Приложение 2-ТЭО'!AC286</f>
        <v>0</v>
      </c>
      <c r="K38" s="76"/>
      <c r="L38" s="76"/>
      <c r="M38" s="76">
        <f>'Приложение 2-ТЭО'!AH286</f>
        <v>0</v>
      </c>
      <c r="N38" s="76"/>
      <c r="O38" s="76"/>
      <c r="P38" s="76">
        <f>'Приложение 2-ТЭО'!AM286</f>
        <v>0</v>
      </c>
    </row>
    <row r="39" spans="2:16" ht="15.75" customHeight="1" x14ac:dyDescent="0.25">
      <c r="B39" s="222" t="s">
        <v>425</v>
      </c>
      <c r="C39" s="73" t="s">
        <v>706</v>
      </c>
      <c r="D39" s="74">
        <f>SUM(D40:D43)</f>
        <v>166091.70000000004</v>
      </c>
      <c r="E39" s="74">
        <f>SUM(E40:E43)</f>
        <v>11663.600000000002</v>
      </c>
      <c r="F39" s="74">
        <f t="shared" ref="F39:P39" si="8">SUM(F40:F43)</f>
        <v>66877.3</v>
      </c>
      <c r="G39" s="74">
        <f t="shared" si="8"/>
        <v>76916.899999999994</v>
      </c>
      <c r="H39" s="74">
        <f t="shared" si="8"/>
        <v>0</v>
      </c>
      <c r="I39" s="74">
        <f t="shared" si="8"/>
        <v>0</v>
      </c>
      <c r="J39" s="74">
        <f t="shared" si="8"/>
        <v>3535.6999999999994</v>
      </c>
      <c r="K39" s="74">
        <f t="shared" si="8"/>
        <v>0</v>
      </c>
      <c r="L39" s="74">
        <f t="shared" si="8"/>
        <v>0</v>
      </c>
      <c r="M39" s="74">
        <f t="shared" si="8"/>
        <v>3549.1</v>
      </c>
      <c r="N39" s="74">
        <f t="shared" si="8"/>
        <v>0</v>
      </c>
      <c r="O39" s="74">
        <f t="shared" si="8"/>
        <v>0</v>
      </c>
      <c r="P39" s="74">
        <f t="shared" si="8"/>
        <v>3549.1</v>
      </c>
    </row>
    <row r="40" spans="2:16" ht="35.25" customHeight="1" x14ac:dyDescent="0.25">
      <c r="B40" s="223"/>
      <c r="C40" s="78" t="s">
        <v>33</v>
      </c>
      <c r="D40" s="76">
        <f>SUM(E40:P40)</f>
        <v>0</v>
      </c>
      <c r="E40" s="76">
        <f>'Приложение 2-ТЭО'!K446</f>
        <v>0</v>
      </c>
      <c r="F40" s="76">
        <f>'Приложение 2-ТЭО'!P446</f>
        <v>0</v>
      </c>
      <c r="G40" s="76">
        <f>'Приложение 2-ТЭО'!U446</f>
        <v>0</v>
      </c>
      <c r="H40" s="76"/>
      <c r="I40" s="76"/>
      <c r="J40" s="76">
        <f>'Приложение 2-ТЭО'!Z446</f>
        <v>0</v>
      </c>
      <c r="K40" s="76"/>
      <c r="L40" s="76"/>
      <c r="M40" s="76">
        <f>'Приложение 2-ТЭО'!AE446</f>
        <v>0</v>
      </c>
      <c r="N40" s="76"/>
      <c r="O40" s="76"/>
      <c r="P40" s="76">
        <f>'Приложение 2-ТЭО'!AJ446</f>
        <v>0</v>
      </c>
    </row>
    <row r="41" spans="2:16" ht="35.25" customHeight="1" x14ac:dyDescent="0.25">
      <c r="B41" s="223"/>
      <c r="C41" s="76" t="s">
        <v>34</v>
      </c>
      <c r="D41" s="76">
        <f>SUM(E41:P41)</f>
        <v>17475.099999999999</v>
      </c>
      <c r="E41" s="76">
        <f>'Приложение 2-ТЭО'!L446</f>
        <v>0</v>
      </c>
      <c r="F41" s="76">
        <f>'Приложение 2-ТЭО'!Q446</f>
        <v>0</v>
      </c>
      <c r="G41" s="76">
        <f>'Приложение 2-ТЭО'!V446</f>
        <v>17475.099999999999</v>
      </c>
      <c r="H41" s="76"/>
      <c r="I41" s="76"/>
      <c r="J41" s="76">
        <f>'Приложение 2-ТЭО'!AA446</f>
        <v>0</v>
      </c>
      <c r="K41" s="76"/>
      <c r="L41" s="76"/>
      <c r="M41" s="76">
        <f>'Приложение 2-ТЭО'!AF446</f>
        <v>0</v>
      </c>
      <c r="N41" s="76"/>
      <c r="O41" s="76"/>
      <c r="P41" s="76">
        <f>'Приложение 2-ТЭО'!AK446</f>
        <v>0</v>
      </c>
    </row>
    <row r="42" spans="2:16" ht="30" customHeight="1" x14ac:dyDescent="0.25">
      <c r="B42" s="223"/>
      <c r="C42" s="76" t="s">
        <v>29</v>
      </c>
      <c r="D42" s="76">
        <f>SUM(E42:P42)</f>
        <v>148613.60000000003</v>
      </c>
      <c r="E42" s="76">
        <f>'Приложение 2-ТЭО'!M446</f>
        <v>11660.600000000002</v>
      </c>
      <c r="F42" s="76">
        <f>'Приложение 2-ТЭО'!R446</f>
        <v>66877.3</v>
      </c>
      <c r="G42" s="76">
        <f>'Приложение 2-ТЭО'!W446</f>
        <v>59441.8</v>
      </c>
      <c r="H42" s="76"/>
      <c r="I42" s="76"/>
      <c r="J42" s="76">
        <f>'Приложение 2-ТЭО'!AB446</f>
        <v>3535.6999999999994</v>
      </c>
      <c r="K42" s="76"/>
      <c r="L42" s="76"/>
      <c r="M42" s="76">
        <f>'Приложение 2-ТЭО'!AG446</f>
        <v>3549.1</v>
      </c>
      <c r="N42" s="76"/>
      <c r="O42" s="76"/>
      <c r="P42" s="76">
        <f>'Приложение 2-ТЭО'!AL446</f>
        <v>3549.1</v>
      </c>
    </row>
    <row r="43" spans="2:16" ht="33" customHeight="1" x14ac:dyDescent="0.25">
      <c r="B43" s="224"/>
      <c r="C43" s="76" t="s">
        <v>707</v>
      </c>
      <c r="D43" s="76">
        <f>SUM(E43:P43)</f>
        <v>3.0000000000000004</v>
      </c>
      <c r="E43" s="76">
        <f>'Приложение 2-ТЭО'!N446</f>
        <v>3.0000000000000004</v>
      </c>
      <c r="F43" s="76">
        <f>'Приложение 2-ТЭО'!S446</f>
        <v>0</v>
      </c>
      <c r="G43" s="76">
        <f>'Приложение 2-ТЭО'!X446</f>
        <v>0</v>
      </c>
      <c r="H43" s="76"/>
      <c r="I43" s="76"/>
      <c r="J43" s="76">
        <f>'Приложение 2-ТЭО'!AC446</f>
        <v>0</v>
      </c>
      <c r="K43" s="76"/>
      <c r="L43" s="76"/>
      <c r="M43" s="76">
        <f>'Приложение 2-ТЭО'!AH446</f>
        <v>0</v>
      </c>
      <c r="N43" s="76"/>
      <c r="O43" s="76"/>
      <c r="P43" s="76">
        <f>'Приложение 2-ТЭО'!AM446</f>
        <v>0</v>
      </c>
    </row>
    <row r="48" spans="2:16" x14ac:dyDescent="0.25">
      <c r="C48" s="69"/>
      <c r="D48" s="69"/>
      <c r="E48" s="69"/>
      <c r="F48" s="69"/>
      <c r="G48" s="69"/>
      <c r="H48" s="69"/>
      <c r="I48" s="69"/>
      <c r="J48" s="69"/>
      <c r="K48" s="69"/>
      <c r="L48" s="69">
        <f>L45-L9</f>
        <v>0</v>
      </c>
      <c r="M48" s="69"/>
      <c r="N48" s="69"/>
      <c r="O48" s="69"/>
      <c r="P48" s="69"/>
    </row>
  </sheetData>
  <mergeCells count="14">
    <mergeCell ref="B39:B43"/>
    <mergeCell ref="B9:B13"/>
    <mergeCell ref="B14:B18"/>
    <mergeCell ref="B19:B23"/>
    <mergeCell ref="B24:B28"/>
    <mergeCell ref="B29:B33"/>
    <mergeCell ref="B34:B38"/>
    <mergeCell ref="J1:P1"/>
    <mergeCell ref="B3:P3"/>
    <mergeCell ref="B5:B7"/>
    <mergeCell ref="C5:C7"/>
    <mergeCell ref="D5:P5"/>
    <mergeCell ref="D6:D7"/>
    <mergeCell ref="E6:P6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2-ТЭО</vt:lpstr>
      <vt:lpstr>Приложение 3</vt:lpstr>
      <vt:lpstr>'Приложение 2-ТЭО'!Заголовки_для_печати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2019-10-08T13:34:42Z</dcterms:modified>
</cp:coreProperties>
</file>