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605" windowWidth="14805" windowHeight="6510"/>
  </bookViews>
  <sheets>
    <sheet name="Приложение 1" sheetId="5" r:id="rId1"/>
    <sheet name="Приложение 2 -ТЭО" sheetId="6" r:id="rId2"/>
    <sheet name="Приложение 3" sheetId="3" r:id="rId3"/>
    <sheet name="расчет" sheetId="9" state="hidden" r:id="rId4"/>
  </sheets>
  <definedNames>
    <definedName name="_xlnm._FilterDatabase" localSheetId="1" hidden="1">'Приложение 2 -ТЭО'!$A$4:$X$7</definedName>
    <definedName name="_xlnm.Print_Titles" localSheetId="1">'Приложение 2 -ТЭО'!$4:$8</definedName>
    <definedName name="_xlnm.Print_Titles" localSheetId="3">расчет!$4:$4</definedName>
    <definedName name="_xlnm.Print_Area" localSheetId="1">'Приложение 2 -ТЭО'!$A$1:$AM$115</definedName>
    <definedName name="_xlnm.Print_Area" localSheetId="3">расчет!$A$1:$X$61</definedName>
  </definedNames>
  <calcPr calcId="144525"/>
</workbook>
</file>

<file path=xl/calcChain.xml><?xml version="1.0" encoding="utf-8"?>
<calcChain xmlns="http://schemas.openxmlformats.org/spreadsheetml/2006/main">
  <c r="R21" i="6" l="1"/>
  <c r="R12" i="6"/>
  <c r="R16" i="6" l="1"/>
  <c r="AL96" i="6" l="1"/>
  <c r="AG96" i="6"/>
  <c r="AL87" i="6"/>
  <c r="AG87" i="6"/>
  <c r="AL26" i="6" l="1"/>
  <c r="AG26" i="6"/>
  <c r="R45" i="6" l="1"/>
  <c r="AB87" i="6" l="1"/>
  <c r="W87" i="6"/>
  <c r="R87" i="6"/>
  <c r="AB96" i="6"/>
  <c r="W96" i="6"/>
  <c r="R96" i="6"/>
  <c r="AB48" i="6"/>
  <c r="W48" i="6"/>
  <c r="R48" i="6"/>
  <c r="R28" i="6" l="1"/>
  <c r="AB26" i="6"/>
  <c r="W26" i="6"/>
  <c r="R26" i="6"/>
  <c r="M38" i="9" l="1"/>
  <c r="K21" i="9"/>
  <c r="H21" i="9"/>
  <c r="G21" i="9"/>
  <c r="P20" i="9"/>
  <c r="K20" i="9"/>
  <c r="H20" i="9"/>
  <c r="G20" i="9"/>
  <c r="K16" i="9"/>
  <c r="I16" i="9"/>
  <c r="H16" i="9"/>
  <c r="P15" i="9"/>
  <c r="O15" i="9"/>
  <c r="N15" i="9"/>
  <c r="M15" i="9"/>
  <c r="G16" i="9" s="1"/>
  <c r="M10" i="9"/>
  <c r="G11" i="9" s="1"/>
  <c r="P9" i="9"/>
  <c r="N9" i="9"/>
  <c r="M9" i="9"/>
  <c r="P8" i="9"/>
  <c r="N8" i="9"/>
  <c r="M8" i="9"/>
  <c r="P7" i="9"/>
  <c r="P6" i="9" s="1"/>
  <c r="N7" i="9"/>
  <c r="N6" i="9" s="1"/>
  <c r="M7" i="9"/>
  <c r="M6" i="9" s="1"/>
  <c r="G51" i="5" l="1"/>
  <c r="R71" i="6" l="1"/>
  <c r="R80" i="6"/>
  <c r="AB89" i="6"/>
  <c r="W89" i="6"/>
  <c r="R89" i="6"/>
  <c r="R77" i="6"/>
  <c r="R109" i="6"/>
  <c r="R98" i="6" s="1"/>
  <c r="AB93" i="6"/>
  <c r="W93" i="6"/>
  <c r="R93" i="6"/>
  <c r="AB75" i="6"/>
  <c r="W75" i="6"/>
  <c r="R75" i="6"/>
  <c r="W72" i="6"/>
  <c r="R72" i="6"/>
  <c r="R46" i="6" l="1"/>
  <c r="R37" i="6" l="1"/>
  <c r="AI115" i="6"/>
  <c r="AD115" i="6"/>
  <c r="Y115" i="6"/>
  <c r="T115" i="6"/>
  <c r="O115" i="6"/>
  <c r="H115" i="6"/>
  <c r="G115" i="6"/>
  <c r="F115" i="6"/>
  <c r="AI114" i="6"/>
  <c r="AD114" i="6"/>
  <c r="Y114" i="6"/>
  <c r="T114" i="6"/>
  <c r="O114" i="6"/>
  <c r="H114" i="6"/>
  <c r="G114" i="6"/>
  <c r="F114" i="6"/>
  <c r="AI113" i="6"/>
  <c r="AD113" i="6"/>
  <c r="Y113" i="6"/>
  <c r="T113" i="6"/>
  <c r="O113" i="6"/>
  <c r="J113" i="6"/>
  <c r="I113" i="6"/>
  <c r="H113" i="6"/>
  <c r="G113" i="6"/>
  <c r="F113" i="6"/>
  <c r="AI112" i="6"/>
  <c r="AD112" i="6"/>
  <c r="Y112" i="6"/>
  <c r="T112" i="6"/>
  <c r="O112" i="6"/>
  <c r="J112" i="6"/>
  <c r="I112" i="6"/>
  <c r="H112" i="6"/>
  <c r="G112" i="6"/>
  <c r="F112" i="6"/>
  <c r="E112" i="6" s="1"/>
  <c r="AI111" i="6"/>
  <c r="AD111" i="6"/>
  <c r="Y111" i="6"/>
  <c r="T111" i="6"/>
  <c r="O111" i="6"/>
  <c r="J111" i="6"/>
  <c r="I111" i="6"/>
  <c r="H111" i="6"/>
  <c r="G111" i="6"/>
  <c r="F111" i="6"/>
  <c r="AI110" i="6"/>
  <c r="AD110" i="6"/>
  <c r="Y110" i="6"/>
  <c r="T110" i="6"/>
  <c r="O110" i="6"/>
  <c r="J110" i="6"/>
  <c r="I110" i="6"/>
  <c r="H110" i="6"/>
  <c r="G110" i="6"/>
  <c r="F110" i="6"/>
  <c r="AI109" i="6"/>
  <c r="AD109" i="6"/>
  <c r="Y109" i="6"/>
  <c r="T109" i="6"/>
  <c r="O109" i="6"/>
  <c r="J109" i="6"/>
  <c r="I109" i="6"/>
  <c r="E109" i="6" s="1"/>
  <c r="H109" i="6"/>
  <c r="G109" i="6"/>
  <c r="F109" i="6"/>
  <c r="AI108" i="6"/>
  <c r="AD108" i="6"/>
  <c r="Y108" i="6"/>
  <c r="T108" i="6"/>
  <c r="O108" i="6"/>
  <c r="J108" i="6"/>
  <c r="I108" i="6"/>
  <c r="H108" i="6"/>
  <c r="G108" i="6"/>
  <c r="F108" i="6"/>
  <c r="AI107" i="6"/>
  <c r="AD107" i="6"/>
  <c r="Y107" i="6"/>
  <c r="T107" i="6"/>
  <c r="O107" i="6"/>
  <c r="J107" i="6"/>
  <c r="I107" i="6"/>
  <c r="H107" i="6"/>
  <c r="G107" i="6"/>
  <c r="F107" i="6"/>
  <c r="AI106" i="6"/>
  <c r="AD106" i="6"/>
  <c r="Y106" i="6"/>
  <c r="T106" i="6"/>
  <c r="O106" i="6"/>
  <c r="J106" i="6"/>
  <c r="I106" i="6"/>
  <c r="H106" i="6"/>
  <c r="G106" i="6"/>
  <c r="F106" i="6"/>
  <c r="AI105" i="6"/>
  <c r="AD105" i="6"/>
  <c r="Y105" i="6"/>
  <c r="T105" i="6"/>
  <c r="O105" i="6"/>
  <c r="J105" i="6"/>
  <c r="I105" i="6"/>
  <c r="H105" i="6"/>
  <c r="G105" i="6"/>
  <c r="F105" i="6"/>
  <c r="E105" i="6" s="1"/>
  <c r="AI104" i="6"/>
  <c r="AD104" i="6"/>
  <c r="Y104" i="6"/>
  <c r="T104" i="6"/>
  <c r="O104" i="6"/>
  <c r="M104" i="6"/>
  <c r="H104" i="6" s="1"/>
  <c r="J104" i="6"/>
  <c r="I104" i="6"/>
  <c r="G104" i="6"/>
  <c r="F104" i="6"/>
  <c r="AI103" i="6"/>
  <c r="AD103" i="6"/>
  <c r="Y103" i="6"/>
  <c r="T103" i="6"/>
  <c r="O103" i="6"/>
  <c r="M103" i="6"/>
  <c r="J103" i="6" s="1"/>
  <c r="I103" i="6"/>
  <c r="H103" i="6"/>
  <c r="G103" i="6"/>
  <c r="F103" i="6"/>
  <c r="AI102" i="6"/>
  <c r="AD102" i="6"/>
  <c r="Y102" i="6"/>
  <c r="T102" i="6"/>
  <c r="O102" i="6"/>
  <c r="J102" i="6"/>
  <c r="I102" i="6"/>
  <c r="H102" i="6"/>
  <c r="G102" i="6"/>
  <c r="F102" i="6"/>
  <c r="AI101" i="6"/>
  <c r="AD101" i="6"/>
  <c r="Y101" i="6"/>
  <c r="T101" i="6"/>
  <c r="O101" i="6"/>
  <c r="M101" i="6"/>
  <c r="J101" i="6" s="1"/>
  <c r="I101" i="6"/>
  <c r="G101" i="6"/>
  <c r="F101" i="6"/>
  <c r="AI100" i="6"/>
  <c r="AD100" i="6"/>
  <c r="Y100" i="6"/>
  <c r="T100" i="6"/>
  <c r="O100" i="6"/>
  <c r="J100" i="6"/>
  <c r="I100" i="6"/>
  <c r="H100" i="6"/>
  <c r="G100" i="6"/>
  <c r="F100" i="6"/>
  <c r="AI99" i="6"/>
  <c r="AD99" i="6"/>
  <c r="Y99" i="6"/>
  <c r="T99" i="6"/>
  <c r="O99" i="6"/>
  <c r="J99" i="6"/>
  <c r="I99" i="6"/>
  <c r="H99" i="6"/>
  <c r="G99" i="6"/>
  <c r="F99" i="6"/>
  <c r="AM98" i="6"/>
  <c r="AL98" i="6"/>
  <c r="AK98" i="6"/>
  <c r="AJ98" i="6"/>
  <c r="AH98" i="6"/>
  <c r="AG98" i="6"/>
  <c r="AF98" i="6"/>
  <c r="AE98" i="6"/>
  <c r="AC98" i="6"/>
  <c r="AB98" i="6"/>
  <c r="AA98" i="6"/>
  <c r="Z98" i="6"/>
  <c r="X98" i="6"/>
  <c r="W98" i="6"/>
  <c r="V98" i="6"/>
  <c r="U98" i="6"/>
  <c r="S98" i="6"/>
  <c r="Q98" i="6"/>
  <c r="P98" i="6"/>
  <c r="N98" i="6"/>
  <c r="L98" i="6"/>
  <c r="K98" i="6"/>
  <c r="AI97" i="6"/>
  <c r="AD97" i="6"/>
  <c r="Y97" i="6"/>
  <c r="T97" i="6"/>
  <c r="O97" i="6"/>
  <c r="H97" i="6"/>
  <c r="G97" i="6"/>
  <c r="F97" i="6"/>
  <c r="AI96" i="6"/>
  <c r="AD96" i="6"/>
  <c r="Y96" i="6"/>
  <c r="T96" i="6"/>
  <c r="O96" i="6"/>
  <c r="M96" i="6"/>
  <c r="I96" i="6"/>
  <c r="G96" i="6"/>
  <c r="F96" i="6"/>
  <c r="AI95" i="6"/>
  <c r="AD95" i="6"/>
  <c r="Y95" i="6"/>
  <c r="T95" i="6"/>
  <c r="O95" i="6"/>
  <c r="M95" i="6"/>
  <c r="H95" i="6" s="1"/>
  <c r="I95" i="6"/>
  <c r="G95" i="6"/>
  <c r="F95" i="6"/>
  <c r="AI94" i="6"/>
  <c r="AD94" i="6"/>
  <c r="Y94" i="6"/>
  <c r="T94" i="6"/>
  <c r="O94" i="6"/>
  <c r="M94" i="6"/>
  <c r="I94" i="6"/>
  <c r="G94" i="6"/>
  <c r="F94" i="6"/>
  <c r="AI93" i="6"/>
  <c r="AD93" i="6"/>
  <c r="Y93" i="6"/>
  <c r="T93" i="6"/>
  <c r="O93" i="6"/>
  <c r="J93" i="6"/>
  <c r="I93" i="6"/>
  <c r="H93" i="6"/>
  <c r="G93" i="6"/>
  <c r="F93" i="6"/>
  <c r="AI92" i="6"/>
  <c r="AD92" i="6"/>
  <c r="Y92" i="6"/>
  <c r="T92" i="6"/>
  <c r="O92" i="6"/>
  <c r="M92" i="6"/>
  <c r="H92" i="6" s="1"/>
  <c r="I92" i="6"/>
  <c r="G92" i="6"/>
  <c r="F92" i="6"/>
  <c r="AI91" i="6"/>
  <c r="AD91" i="6"/>
  <c r="Y91" i="6"/>
  <c r="T91" i="6"/>
  <c r="O91" i="6"/>
  <c r="M91" i="6"/>
  <c r="J91" i="6" s="1"/>
  <c r="I91" i="6"/>
  <c r="G91" i="6"/>
  <c r="F91" i="6"/>
  <c r="AI90" i="6"/>
  <c r="AD90" i="6"/>
  <c r="Y90" i="6"/>
  <c r="T90" i="6"/>
  <c r="O90" i="6"/>
  <c r="M90" i="6"/>
  <c r="H90" i="6" s="1"/>
  <c r="J90" i="6"/>
  <c r="I90" i="6"/>
  <c r="G90" i="6"/>
  <c r="F90" i="6"/>
  <c r="AI89" i="6"/>
  <c r="AD89" i="6"/>
  <c r="Y89" i="6"/>
  <c r="T89" i="6"/>
  <c r="O89" i="6"/>
  <c r="M89" i="6"/>
  <c r="J89" i="6" s="1"/>
  <c r="I89" i="6"/>
  <c r="H89" i="6"/>
  <c r="G89" i="6"/>
  <c r="F89" i="6"/>
  <c r="AI88" i="6"/>
  <c r="AD88" i="6"/>
  <c r="Y88" i="6"/>
  <c r="T88" i="6"/>
  <c r="O88" i="6"/>
  <c r="J88" i="6"/>
  <c r="I88" i="6"/>
  <c r="H88" i="6"/>
  <c r="G88" i="6"/>
  <c r="F88" i="6"/>
  <c r="AI87" i="6"/>
  <c r="AD87" i="6"/>
  <c r="Y87" i="6"/>
  <c r="T87" i="6"/>
  <c r="O87" i="6"/>
  <c r="M87" i="6"/>
  <c r="J87" i="6"/>
  <c r="I87" i="6"/>
  <c r="H87" i="6"/>
  <c r="G87" i="6"/>
  <c r="F87" i="6"/>
  <c r="AI86" i="6"/>
  <c r="AD86" i="6"/>
  <c r="Y86" i="6"/>
  <c r="T86" i="6"/>
  <c r="O86" i="6"/>
  <c r="J86" i="6"/>
  <c r="I86" i="6"/>
  <c r="H86" i="6"/>
  <c r="G86" i="6"/>
  <c r="F86" i="6"/>
  <c r="AI85" i="6"/>
  <c r="AD85" i="6"/>
  <c r="Y85" i="6"/>
  <c r="T85" i="6"/>
  <c r="O85" i="6"/>
  <c r="M85" i="6"/>
  <c r="H85" i="6" s="1"/>
  <c r="J85" i="6"/>
  <c r="I85" i="6"/>
  <c r="G85" i="6"/>
  <c r="F85" i="6"/>
  <c r="AI84" i="6"/>
  <c r="AD84" i="6"/>
  <c r="Y84" i="6"/>
  <c r="T84" i="6"/>
  <c r="O84" i="6"/>
  <c r="M84" i="6"/>
  <c r="M80" i="6" s="1"/>
  <c r="J84" i="6"/>
  <c r="I84" i="6"/>
  <c r="G84" i="6"/>
  <c r="F84" i="6"/>
  <c r="AI83" i="6"/>
  <c r="AD83" i="6"/>
  <c r="Y83" i="6"/>
  <c r="T83" i="6"/>
  <c r="O83" i="6"/>
  <c r="H83" i="6"/>
  <c r="G83" i="6"/>
  <c r="F83" i="6"/>
  <c r="AI82" i="6"/>
  <c r="AD82" i="6"/>
  <c r="Y82" i="6"/>
  <c r="T82" i="6"/>
  <c r="O82" i="6"/>
  <c r="M82" i="6"/>
  <c r="J82" i="6"/>
  <c r="I82" i="6"/>
  <c r="H82" i="6"/>
  <c r="G82" i="6"/>
  <c r="F82" i="6"/>
  <c r="AI81" i="6"/>
  <c r="AD81" i="6"/>
  <c r="Y81" i="6"/>
  <c r="T81" i="6"/>
  <c r="O81" i="6"/>
  <c r="J81" i="6"/>
  <c r="I81" i="6"/>
  <c r="H81" i="6"/>
  <c r="G81" i="6"/>
  <c r="F81" i="6"/>
  <c r="AM80" i="6"/>
  <c r="AL80" i="6"/>
  <c r="AK80" i="6"/>
  <c r="AJ80" i="6"/>
  <c r="AH80" i="6"/>
  <c r="AG80" i="6"/>
  <c r="AF80" i="6"/>
  <c r="AE80" i="6"/>
  <c r="AC80" i="6"/>
  <c r="AB80" i="6"/>
  <c r="AA80" i="6"/>
  <c r="Z80" i="6"/>
  <c r="X80" i="6"/>
  <c r="W80" i="6"/>
  <c r="V80" i="6"/>
  <c r="U80" i="6"/>
  <c r="S80" i="6"/>
  <c r="Q80" i="6"/>
  <c r="P80" i="6"/>
  <c r="N80" i="6"/>
  <c r="L80" i="6"/>
  <c r="K80" i="6"/>
  <c r="AI79" i="6"/>
  <c r="AD79" i="6"/>
  <c r="Y79" i="6"/>
  <c r="T79" i="6"/>
  <c r="O79" i="6"/>
  <c r="H79" i="6"/>
  <c r="G79" i="6"/>
  <c r="F79" i="6"/>
  <c r="AI78" i="6"/>
  <c r="AD78" i="6"/>
  <c r="Y78" i="6"/>
  <c r="T78" i="6"/>
  <c r="O78" i="6"/>
  <c r="M78" i="6"/>
  <c r="J78" i="6"/>
  <c r="I78" i="6"/>
  <c r="H78" i="6"/>
  <c r="G78" i="6"/>
  <c r="F78" i="6"/>
  <c r="AI77" i="6"/>
  <c r="AD77" i="6"/>
  <c r="Y77" i="6"/>
  <c r="T77" i="6"/>
  <c r="O77" i="6"/>
  <c r="M77" i="6"/>
  <c r="H77" i="6" s="1"/>
  <c r="I77" i="6"/>
  <c r="G77" i="6"/>
  <c r="F77" i="6"/>
  <c r="AI76" i="6"/>
  <c r="AD76" i="6"/>
  <c r="Y76" i="6"/>
  <c r="T76" i="6"/>
  <c r="O76" i="6"/>
  <c r="J76" i="6"/>
  <c r="I76" i="6"/>
  <c r="H76" i="6"/>
  <c r="G76" i="6"/>
  <c r="F76" i="6"/>
  <c r="AI75" i="6"/>
  <c r="AD75" i="6"/>
  <c r="Y75" i="6"/>
  <c r="T75" i="6"/>
  <c r="O75" i="6"/>
  <c r="J75" i="6"/>
  <c r="I75" i="6"/>
  <c r="H75" i="6"/>
  <c r="G75" i="6"/>
  <c r="F75" i="6"/>
  <c r="AI74" i="6"/>
  <c r="AD74" i="6"/>
  <c r="Y74" i="6"/>
  <c r="T74" i="6"/>
  <c r="O74" i="6"/>
  <c r="J74" i="6"/>
  <c r="I74" i="6"/>
  <c r="H74" i="6"/>
  <c r="G74" i="6"/>
  <c r="F74" i="6"/>
  <c r="AI73" i="6"/>
  <c r="AD73" i="6"/>
  <c r="Y73" i="6"/>
  <c r="T73" i="6"/>
  <c r="O73" i="6"/>
  <c r="J73" i="6"/>
  <c r="I73" i="6"/>
  <c r="H73" i="6"/>
  <c r="G73" i="6"/>
  <c r="F73" i="6"/>
  <c r="AI72" i="6"/>
  <c r="AD72" i="6"/>
  <c r="Y72" i="6"/>
  <c r="T72" i="6"/>
  <c r="O72" i="6"/>
  <c r="J72" i="6"/>
  <c r="I72" i="6"/>
  <c r="H72" i="6"/>
  <c r="G72" i="6"/>
  <c r="F72" i="6"/>
  <c r="E72" i="6" s="1"/>
  <c r="AI71" i="6"/>
  <c r="AD71" i="6"/>
  <c r="Y71" i="6"/>
  <c r="T71" i="6"/>
  <c r="O71" i="6"/>
  <c r="J71" i="6"/>
  <c r="I71" i="6"/>
  <c r="H71" i="6"/>
  <c r="G71" i="6"/>
  <c r="F71" i="6"/>
  <c r="AI70" i="6"/>
  <c r="AD70" i="6"/>
  <c r="Y70" i="6"/>
  <c r="T70" i="6"/>
  <c r="R70" i="6"/>
  <c r="R61" i="6" s="1"/>
  <c r="R60" i="6" s="1"/>
  <c r="O70" i="6"/>
  <c r="J70" i="6"/>
  <c r="I70" i="6"/>
  <c r="G70" i="6"/>
  <c r="F70" i="6"/>
  <c r="AI69" i="6"/>
  <c r="AD69" i="6"/>
  <c r="Y69" i="6"/>
  <c r="T69" i="6"/>
  <c r="O69" i="6"/>
  <c r="J69" i="6"/>
  <c r="I69" i="6"/>
  <c r="H69" i="6"/>
  <c r="G69" i="6"/>
  <c r="F69" i="6"/>
  <c r="AI68" i="6"/>
  <c r="AD68" i="6"/>
  <c r="Y68" i="6"/>
  <c r="T68" i="6"/>
  <c r="O68" i="6"/>
  <c r="J68" i="6"/>
  <c r="I68" i="6"/>
  <c r="H68" i="6"/>
  <c r="G68" i="6"/>
  <c r="F68" i="6"/>
  <c r="AI67" i="6"/>
  <c r="AD67" i="6"/>
  <c r="Y67" i="6"/>
  <c r="T67" i="6"/>
  <c r="O67" i="6"/>
  <c r="J67" i="6"/>
  <c r="I67" i="6"/>
  <c r="H67" i="6"/>
  <c r="G67" i="6"/>
  <c r="F67" i="6"/>
  <c r="AI66" i="6"/>
  <c r="AD66" i="6"/>
  <c r="Y66" i="6"/>
  <c r="T66" i="6"/>
  <c r="O66" i="6"/>
  <c r="J66" i="6"/>
  <c r="I66" i="6"/>
  <c r="H66" i="6"/>
  <c r="G66" i="6"/>
  <c r="F66" i="6"/>
  <c r="AI65" i="6"/>
  <c r="AD65" i="6"/>
  <c r="Y65" i="6"/>
  <c r="T65" i="6"/>
  <c r="O65" i="6"/>
  <c r="J65" i="6"/>
  <c r="I65" i="6"/>
  <c r="H65" i="6"/>
  <c r="G65" i="6"/>
  <c r="F65" i="6"/>
  <c r="AI64" i="6"/>
  <c r="AD64" i="6"/>
  <c r="Y64" i="6"/>
  <c r="T64" i="6"/>
  <c r="O64" i="6"/>
  <c r="H64" i="6"/>
  <c r="G64" i="6"/>
  <c r="F64" i="6"/>
  <c r="AI63" i="6"/>
  <c r="AD63" i="6"/>
  <c r="Y63" i="6"/>
  <c r="T63" i="6"/>
  <c r="O63" i="6"/>
  <c r="J63" i="6"/>
  <c r="I63" i="6"/>
  <c r="H63" i="6"/>
  <c r="G63" i="6"/>
  <c r="F63" i="6"/>
  <c r="AI62" i="6"/>
  <c r="AD62" i="6"/>
  <c r="Y62" i="6"/>
  <c r="T62" i="6"/>
  <c r="O62" i="6"/>
  <c r="J62" i="6"/>
  <c r="I62" i="6"/>
  <c r="H62" i="6"/>
  <c r="G62" i="6"/>
  <c r="F62" i="6"/>
  <c r="AM61" i="6"/>
  <c r="AM60" i="6" s="1"/>
  <c r="P43" i="3" s="1"/>
  <c r="AL61" i="6"/>
  <c r="AK61" i="6"/>
  <c r="AJ61" i="6"/>
  <c r="AH61" i="6"/>
  <c r="AG61" i="6"/>
  <c r="AF61" i="6"/>
  <c r="AE61" i="6"/>
  <c r="AC61" i="6"/>
  <c r="AB61" i="6"/>
  <c r="AA61" i="6"/>
  <c r="Z61" i="6"/>
  <c r="X61" i="6"/>
  <c r="W61" i="6"/>
  <c r="V61" i="6"/>
  <c r="U61" i="6"/>
  <c r="S61" i="6"/>
  <c r="Q61" i="6"/>
  <c r="P61" i="6"/>
  <c r="N61" i="6"/>
  <c r="L61" i="6"/>
  <c r="K61" i="6"/>
  <c r="AI59" i="6"/>
  <c r="AD59" i="6"/>
  <c r="Y59" i="6"/>
  <c r="T59" i="6"/>
  <c r="O59" i="6"/>
  <c r="J59" i="6"/>
  <c r="H59" i="6"/>
  <c r="E59" i="6" s="1"/>
  <c r="AI58" i="6"/>
  <c r="AD58" i="6"/>
  <c r="Y58" i="6"/>
  <c r="T58" i="6"/>
  <c r="O58" i="6"/>
  <c r="J58" i="6"/>
  <c r="H58" i="6"/>
  <c r="E58" i="6" s="1"/>
  <c r="AL57" i="6"/>
  <c r="AL52" i="6" s="1"/>
  <c r="P37" i="3" s="1"/>
  <c r="AK57" i="6"/>
  <c r="AK52" i="6" s="1"/>
  <c r="P36" i="3" s="1"/>
  <c r="AJ57" i="6"/>
  <c r="AJ52" i="6" s="1"/>
  <c r="P35" i="3" s="1"/>
  <c r="AH57" i="6"/>
  <c r="AG57" i="6"/>
  <c r="AG52" i="6" s="1"/>
  <c r="M37" i="3" s="1"/>
  <c r="AF57" i="6"/>
  <c r="AF52" i="6" s="1"/>
  <c r="M36" i="3" s="1"/>
  <c r="AE57" i="6"/>
  <c r="AE52" i="6" s="1"/>
  <c r="M35" i="3" s="1"/>
  <c r="AC57" i="6"/>
  <c r="AB57" i="6"/>
  <c r="AB52" i="6" s="1"/>
  <c r="J37" i="3" s="1"/>
  <c r="AA57" i="6"/>
  <c r="AA52" i="6" s="1"/>
  <c r="J36" i="3" s="1"/>
  <c r="Z57" i="6"/>
  <c r="Z52" i="6" s="1"/>
  <c r="J35" i="3" s="1"/>
  <c r="X57" i="6"/>
  <c r="W57" i="6"/>
  <c r="W52" i="6" s="1"/>
  <c r="G37" i="3" s="1"/>
  <c r="V57" i="6"/>
  <c r="V52" i="6" s="1"/>
  <c r="G36" i="3" s="1"/>
  <c r="U57" i="6"/>
  <c r="U52" i="6" s="1"/>
  <c r="G35" i="3" s="1"/>
  <c r="S57" i="6"/>
  <c r="S52" i="6" s="1"/>
  <c r="F38" i="3" s="1"/>
  <c r="R57" i="6"/>
  <c r="R52" i="6" s="1"/>
  <c r="F37" i="3" s="1"/>
  <c r="Q57" i="6"/>
  <c r="Q52" i="6" s="1"/>
  <c r="F36" i="3" s="1"/>
  <c r="P57" i="6"/>
  <c r="P52" i="6" s="1"/>
  <c r="F35" i="3" s="1"/>
  <c r="N57" i="6"/>
  <c r="N52" i="6" s="1"/>
  <c r="E38" i="3" s="1"/>
  <c r="M57" i="6"/>
  <c r="L57" i="6"/>
  <c r="L52" i="6" s="1"/>
  <c r="E36" i="3" s="1"/>
  <c r="K57" i="6"/>
  <c r="K52" i="6" s="1"/>
  <c r="E35" i="3" s="1"/>
  <c r="I57" i="6"/>
  <c r="G57" i="6"/>
  <c r="F57" i="6"/>
  <c r="AI56" i="6"/>
  <c r="AD56" i="6"/>
  <c r="Y56" i="6"/>
  <c r="T56" i="6"/>
  <c r="O56" i="6"/>
  <c r="M56" i="6"/>
  <c r="H56" i="6" s="1"/>
  <c r="J56" i="6"/>
  <c r="I56" i="6"/>
  <c r="G56" i="6"/>
  <c r="F56" i="6"/>
  <c r="AI55" i="6"/>
  <c r="AD55" i="6"/>
  <c r="Y55" i="6"/>
  <c r="T55" i="6"/>
  <c r="O55" i="6"/>
  <c r="J55" i="6"/>
  <c r="I55" i="6"/>
  <c r="H55" i="6"/>
  <c r="G55" i="6"/>
  <c r="F55" i="6"/>
  <c r="AI54" i="6"/>
  <c r="AD54" i="6"/>
  <c r="Y54" i="6"/>
  <c r="T54" i="6"/>
  <c r="O54" i="6"/>
  <c r="J54" i="6"/>
  <c r="I54" i="6"/>
  <c r="H54" i="6"/>
  <c r="G54" i="6"/>
  <c r="F54" i="6"/>
  <c r="AI53" i="6"/>
  <c r="AD53" i="6"/>
  <c r="Y53" i="6"/>
  <c r="T53" i="6"/>
  <c r="O53" i="6"/>
  <c r="J53" i="6"/>
  <c r="I53" i="6"/>
  <c r="H53" i="6"/>
  <c r="G53" i="6"/>
  <c r="F53" i="6"/>
  <c r="AM52" i="6"/>
  <c r="P38" i="3" s="1"/>
  <c r="AH52" i="6"/>
  <c r="M38" i="3" s="1"/>
  <c r="AC52" i="6"/>
  <c r="J38" i="3" s="1"/>
  <c r="X52" i="6"/>
  <c r="G38" i="3" s="1"/>
  <c r="AI51" i="6"/>
  <c r="AD51" i="6"/>
  <c r="Y51" i="6"/>
  <c r="T51" i="6"/>
  <c r="O51" i="6"/>
  <c r="J51" i="6"/>
  <c r="I51" i="6"/>
  <c r="H51" i="6"/>
  <c r="G51" i="6"/>
  <c r="F51" i="6"/>
  <c r="AI50" i="6"/>
  <c r="AD50" i="6"/>
  <c r="Y50" i="6"/>
  <c r="T50" i="6"/>
  <c r="O50" i="6"/>
  <c r="M50" i="6"/>
  <c r="H50" i="6" s="1"/>
  <c r="I50" i="6"/>
  <c r="G50" i="6"/>
  <c r="F50" i="6"/>
  <c r="AI49" i="6"/>
  <c r="AD49" i="6"/>
  <c r="Y49" i="6"/>
  <c r="T49" i="6"/>
  <c r="O49" i="6"/>
  <c r="M49" i="6"/>
  <c r="J49" i="6" s="1"/>
  <c r="I49" i="6"/>
  <c r="G49" i="6"/>
  <c r="F49" i="6"/>
  <c r="AI48" i="6"/>
  <c r="AD48" i="6"/>
  <c r="Y48" i="6"/>
  <c r="T48" i="6"/>
  <c r="O48" i="6"/>
  <c r="M48" i="6"/>
  <c r="H48" i="6" s="1"/>
  <c r="I48" i="6"/>
  <c r="G48" i="6"/>
  <c r="F48" i="6"/>
  <c r="AM47" i="6"/>
  <c r="P33" i="3" s="1"/>
  <c r="AL47" i="6"/>
  <c r="P32" i="3" s="1"/>
  <c r="AK47" i="6"/>
  <c r="P31" i="3" s="1"/>
  <c r="AJ47" i="6"/>
  <c r="P30" i="3" s="1"/>
  <c r="AH47" i="6"/>
  <c r="M33" i="3" s="1"/>
  <c r="AG47" i="6"/>
  <c r="M32" i="3" s="1"/>
  <c r="AF47" i="6"/>
  <c r="M31" i="3" s="1"/>
  <c r="AE47" i="6"/>
  <c r="M30" i="3" s="1"/>
  <c r="AC47" i="6"/>
  <c r="J33" i="3" s="1"/>
  <c r="AB47" i="6"/>
  <c r="J32" i="3" s="1"/>
  <c r="AA47" i="6"/>
  <c r="J31" i="3" s="1"/>
  <c r="Z47" i="6"/>
  <c r="J30" i="3" s="1"/>
  <c r="X47" i="6"/>
  <c r="G33" i="3" s="1"/>
  <c r="W47" i="6"/>
  <c r="G32" i="3" s="1"/>
  <c r="V47" i="6"/>
  <c r="G31" i="3" s="1"/>
  <c r="U47" i="6"/>
  <c r="G30" i="3" s="1"/>
  <c r="S47" i="6"/>
  <c r="F33" i="3" s="1"/>
  <c r="R47" i="6"/>
  <c r="F32" i="3" s="1"/>
  <c r="Q47" i="6"/>
  <c r="F31" i="3" s="1"/>
  <c r="P47" i="6"/>
  <c r="F30" i="3" s="1"/>
  <c r="N47" i="6"/>
  <c r="E33" i="3" s="1"/>
  <c r="L47" i="6"/>
  <c r="E31" i="3" s="1"/>
  <c r="K47" i="6"/>
  <c r="E30" i="3" s="1"/>
  <c r="AI46" i="6"/>
  <c r="AD46" i="6"/>
  <c r="Y46" i="6"/>
  <c r="T46" i="6"/>
  <c r="O46" i="6"/>
  <c r="J46" i="6"/>
  <c r="I46" i="6"/>
  <c r="H46" i="6"/>
  <c r="G46" i="6"/>
  <c r="F46" i="6"/>
  <c r="AI45" i="6"/>
  <c r="AD45" i="6"/>
  <c r="Y45" i="6"/>
  <c r="T45" i="6"/>
  <c r="O45" i="6"/>
  <c r="J45" i="6"/>
  <c r="I45" i="6"/>
  <c r="H45" i="6"/>
  <c r="G45" i="6"/>
  <c r="F45" i="6"/>
  <c r="AM44" i="6"/>
  <c r="P28" i="3" s="1"/>
  <c r="AL44" i="6"/>
  <c r="P27" i="3" s="1"/>
  <c r="AK44" i="6"/>
  <c r="P26" i="3" s="1"/>
  <c r="AJ44" i="6"/>
  <c r="P25" i="3" s="1"/>
  <c r="AH44" i="6"/>
  <c r="M28" i="3" s="1"/>
  <c r="AG44" i="6"/>
  <c r="M27" i="3" s="1"/>
  <c r="AF44" i="6"/>
  <c r="M26" i="3" s="1"/>
  <c r="AE44" i="6"/>
  <c r="M25" i="3" s="1"/>
  <c r="AC44" i="6"/>
  <c r="J28" i="3" s="1"/>
  <c r="AB44" i="6"/>
  <c r="J27" i="3" s="1"/>
  <c r="AA44" i="6"/>
  <c r="J26" i="3" s="1"/>
  <c r="Z44" i="6"/>
  <c r="J25" i="3" s="1"/>
  <c r="X44" i="6"/>
  <c r="G28" i="3" s="1"/>
  <c r="W44" i="6"/>
  <c r="G27" i="3" s="1"/>
  <c r="V44" i="6"/>
  <c r="G26" i="3" s="1"/>
  <c r="U44" i="6"/>
  <c r="G25" i="3" s="1"/>
  <c r="S44" i="6"/>
  <c r="F28" i="3" s="1"/>
  <c r="R44" i="6"/>
  <c r="F27" i="3" s="1"/>
  <c r="Q44" i="6"/>
  <c r="F26" i="3" s="1"/>
  <c r="P44" i="6"/>
  <c r="F25" i="3" s="1"/>
  <c r="N44" i="6"/>
  <c r="E28" i="3" s="1"/>
  <c r="M44" i="6"/>
  <c r="E27" i="3" s="1"/>
  <c r="L44" i="6"/>
  <c r="E26" i="3" s="1"/>
  <c r="K44" i="6"/>
  <c r="E25" i="3" s="1"/>
  <c r="AI43" i="6"/>
  <c r="AI42" i="6" s="1"/>
  <c r="AD43" i="6"/>
  <c r="AD42" i="6" s="1"/>
  <c r="Y43" i="6"/>
  <c r="Y42" i="6" s="1"/>
  <c r="T43" i="6"/>
  <c r="T42" i="6" s="1"/>
  <c r="O43" i="6"/>
  <c r="O42" i="6" s="1"/>
  <c r="J43" i="6"/>
  <c r="J42" i="6" s="1"/>
  <c r="H43" i="6"/>
  <c r="E43" i="6" s="1"/>
  <c r="E42" i="6" s="1"/>
  <c r="AL42" i="6"/>
  <c r="AK42" i="6"/>
  <c r="AJ42" i="6"/>
  <c r="AH42" i="6"/>
  <c r="AG42" i="6"/>
  <c r="AF42" i="6"/>
  <c r="AE42" i="6"/>
  <c r="AC42" i="6"/>
  <c r="AB42" i="6"/>
  <c r="AA42" i="6"/>
  <c r="Z42" i="6"/>
  <c r="X42" i="6"/>
  <c r="W42" i="6"/>
  <c r="V42" i="6"/>
  <c r="U42" i="6"/>
  <c r="S42" i="6"/>
  <c r="R42" i="6"/>
  <c r="Q42" i="6"/>
  <c r="P42" i="6"/>
  <c r="N42" i="6"/>
  <c r="M42" i="6"/>
  <c r="L42" i="6"/>
  <c r="K42" i="6"/>
  <c r="I42" i="6"/>
  <c r="G42" i="6"/>
  <c r="F42" i="6"/>
  <c r="AI41" i="6"/>
  <c r="AI40" i="6" s="1"/>
  <c r="AD41" i="6"/>
  <c r="AD40" i="6" s="1"/>
  <c r="Y41" i="6"/>
  <c r="Y40" i="6" s="1"/>
  <c r="T41" i="6"/>
  <c r="T40" i="6" s="1"/>
  <c r="R41" i="6"/>
  <c r="J41" i="6"/>
  <c r="J40" i="6" s="1"/>
  <c r="G41" i="6"/>
  <c r="G40" i="6" s="1"/>
  <c r="G39" i="6" s="1"/>
  <c r="F41" i="6"/>
  <c r="F40" i="6" s="1"/>
  <c r="F39" i="6" s="1"/>
  <c r="AL40" i="6"/>
  <c r="AK40" i="6"/>
  <c r="AJ40" i="6"/>
  <c r="AH40" i="6"/>
  <c r="AG40" i="6"/>
  <c r="AF40" i="6"/>
  <c r="AE40" i="6"/>
  <c r="AC40" i="6"/>
  <c r="AB40" i="6"/>
  <c r="AA40" i="6"/>
  <c r="Z40" i="6"/>
  <c r="X40" i="6"/>
  <c r="W40" i="6"/>
  <c r="V40" i="6"/>
  <c r="U40" i="6"/>
  <c r="S40" i="6"/>
  <c r="Q40" i="6"/>
  <c r="P40" i="6"/>
  <c r="N40" i="6"/>
  <c r="M40" i="6"/>
  <c r="L40" i="6"/>
  <c r="K40" i="6"/>
  <c r="I40" i="6"/>
  <c r="M38" i="6"/>
  <c r="J38" i="6" s="1"/>
  <c r="AI37" i="6"/>
  <c r="AD37" i="6"/>
  <c r="Y37" i="6"/>
  <c r="O37" i="6"/>
  <c r="J37" i="6"/>
  <c r="I37" i="6"/>
  <c r="H37" i="6"/>
  <c r="G37" i="6"/>
  <c r="F37" i="6"/>
  <c r="AI36" i="6"/>
  <c r="AD36" i="6"/>
  <c r="Y36" i="6"/>
  <c r="T36" i="6"/>
  <c r="O36" i="6"/>
  <c r="M36" i="6"/>
  <c r="H36" i="6" s="1"/>
  <c r="I36" i="6"/>
  <c r="G36" i="6"/>
  <c r="F36" i="6"/>
  <c r="AI35" i="6"/>
  <c r="AD35" i="6"/>
  <c r="Y35" i="6"/>
  <c r="T35" i="6"/>
  <c r="O35" i="6"/>
  <c r="M35" i="6"/>
  <c r="J35" i="6" s="1"/>
  <c r="I35" i="6"/>
  <c r="H35" i="6"/>
  <c r="G35" i="6"/>
  <c r="F35" i="6"/>
  <c r="AI34" i="6"/>
  <c r="AD34" i="6"/>
  <c r="Y34" i="6"/>
  <c r="T34" i="6"/>
  <c r="O34" i="6"/>
  <c r="J34" i="6"/>
  <c r="H34" i="6"/>
  <c r="E34" i="6" s="1"/>
  <c r="AI33" i="6"/>
  <c r="AD33" i="6"/>
  <c r="Y33" i="6"/>
  <c r="T33" i="6"/>
  <c r="O33" i="6"/>
  <c r="J33" i="6"/>
  <c r="H33" i="6"/>
  <c r="E33" i="6" s="1"/>
  <c r="Y32" i="6"/>
  <c r="T32" i="6"/>
  <c r="O32" i="6"/>
  <c r="M32" i="6"/>
  <c r="J32" i="6" s="1"/>
  <c r="AL31" i="6"/>
  <c r="AK31" i="6"/>
  <c r="AJ31" i="6"/>
  <c r="AG31" i="6"/>
  <c r="AF31" i="6"/>
  <c r="AE31" i="6"/>
  <c r="AB31" i="6"/>
  <c r="AA31" i="6"/>
  <c r="Z31" i="6"/>
  <c r="W31" i="6"/>
  <c r="V31" i="6"/>
  <c r="U31" i="6"/>
  <c r="S31" i="6"/>
  <c r="R31" i="6"/>
  <c r="Q31" i="6"/>
  <c r="P31" i="6"/>
  <c r="N31" i="6"/>
  <c r="L31" i="6"/>
  <c r="K31" i="6"/>
  <c r="AM30" i="6"/>
  <c r="P23" i="3" s="1"/>
  <c r="AH30" i="6"/>
  <c r="M23" i="3" s="1"/>
  <c r="AC30" i="6"/>
  <c r="J23" i="3" s="1"/>
  <c r="X30" i="6"/>
  <c r="G23" i="3" s="1"/>
  <c r="AI29" i="6"/>
  <c r="AD29" i="6"/>
  <c r="Y29" i="6"/>
  <c r="T29" i="6"/>
  <c r="O29" i="6"/>
  <c r="J29" i="6"/>
  <c r="H29" i="6"/>
  <c r="E29" i="6" s="1"/>
  <c r="AI28" i="6"/>
  <c r="AD28" i="6"/>
  <c r="Y28" i="6"/>
  <c r="T28" i="6"/>
  <c r="O28" i="6"/>
  <c r="J28" i="6"/>
  <c r="I28" i="6"/>
  <c r="H28" i="6"/>
  <c r="G28" i="6"/>
  <c r="F28" i="6"/>
  <c r="AI27" i="6"/>
  <c r="AD27" i="6"/>
  <c r="Y27" i="6"/>
  <c r="T27" i="6"/>
  <c r="O27" i="6"/>
  <c r="J27" i="6"/>
  <c r="I27" i="6"/>
  <c r="H27" i="6"/>
  <c r="G27" i="6"/>
  <c r="F27" i="6"/>
  <c r="E27" i="6" s="1"/>
  <c r="AI26" i="6"/>
  <c r="AD26" i="6"/>
  <c r="Y26" i="6"/>
  <c r="T26" i="6"/>
  <c r="O26" i="6"/>
  <c r="J26" i="6"/>
  <c r="I26" i="6"/>
  <c r="H26" i="6"/>
  <c r="G26" i="6"/>
  <c r="F26" i="6"/>
  <c r="AM25" i="6"/>
  <c r="AL25" i="6"/>
  <c r="AK25" i="6"/>
  <c r="AJ25" i="6"/>
  <c r="AH25" i="6"/>
  <c r="AG25" i="6"/>
  <c r="AF25" i="6"/>
  <c r="AE25" i="6"/>
  <c r="AC25" i="6"/>
  <c r="AB25" i="6"/>
  <c r="AA25" i="6"/>
  <c r="Z25" i="6"/>
  <c r="X25" i="6"/>
  <c r="W25" i="6"/>
  <c r="V25" i="6"/>
  <c r="U25" i="6"/>
  <c r="S25" i="6"/>
  <c r="R25" i="6"/>
  <c r="Q25" i="6"/>
  <c r="P25" i="6"/>
  <c r="N25" i="6"/>
  <c r="M25" i="6"/>
  <c r="L25" i="6"/>
  <c r="K25" i="6"/>
  <c r="AI24" i="6"/>
  <c r="AD24" i="6"/>
  <c r="Y24" i="6"/>
  <c r="T24" i="6"/>
  <c r="O24" i="6"/>
  <c r="J24" i="6"/>
  <c r="I24" i="6"/>
  <c r="H24" i="6"/>
  <c r="G24" i="6"/>
  <c r="F24" i="6"/>
  <c r="AI23" i="6"/>
  <c r="AD23" i="6"/>
  <c r="Y23" i="6"/>
  <c r="T23" i="6"/>
  <c r="O23" i="6"/>
  <c r="J23" i="6"/>
  <c r="I23" i="6"/>
  <c r="H23" i="6"/>
  <c r="G23" i="6"/>
  <c r="F23" i="6"/>
  <c r="AI22" i="6"/>
  <c r="AD22" i="6"/>
  <c r="Y22" i="6"/>
  <c r="T22" i="6"/>
  <c r="O22" i="6"/>
  <c r="J22" i="6"/>
  <c r="I22" i="6"/>
  <c r="H22" i="6"/>
  <c r="G22" i="6"/>
  <c r="F22" i="6"/>
  <c r="E22" i="6"/>
  <c r="AI21" i="6"/>
  <c r="AD21" i="6"/>
  <c r="Y21" i="6"/>
  <c r="T21" i="6"/>
  <c r="O21" i="6"/>
  <c r="J21" i="6"/>
  <c r="I21" i="6"/>
  <c r="H21" i="6"/>
  <c r="G21" i="6"/>
  <c r="F21" i="6"/>
  <c r="AM20" i="6"/>
  <c r="AL20" i="6"/>
  <c r="AK20" i="6"/>
  <c r="AJ20" i="6"/>
  <c r="AH20" i="6"/>
  <c r="AG20" i="6"/>
  <c r="AF20" i="6"/>
  <c r="AE20" i="6"/>
  <c r="AC20" i="6"/>
  <c r="AB20" i="6"/>
  <c r="AA20" i="6"/>
  <c r="Z20" i="6"/>
  <c r="X20" i="6"/>
  <c r="W20" i="6"/>
  <c r="V20" i="6"/>
  <c r="U20" i="6"/>
  <c r="S20" i="6"/>
  <c r="R20" i="6"/>
  <c r="Q20" i="6"/>
  <c r="P20" i="6"/>
  <c r="N20" i="6"/>
  <c r="M20" i="6"/>
  <c r="L20" i="6"/>
  <c r="K20" i="6"/>
  <c r="AI19" i="6"/>
  <c r="AD19" i="6"/>
  <c r="Y19" i="6"/>
  <c r="T19" i="6"/>
  <c r="O19" i="6"/>
  <c r="J19" i="6"/>
  <c r="I19" i="6"/>
  <c r="H19" i="6"/>
  <c r="G19" i="6"/>
  <c r="F19" i="6"/>
  <c r="AI18" i="6"/>
  <c r="AD18" i="6"/>
  <c r="Y18" i="6"/>
  <c r="T18" i="6"/>
  <c r="O18" i="6"/>
  <c r="M18" i="6"/>
  <c r="M15" i="6" s="1"/>
  <c r="I18" i="6"/>
  <c r="G18" i="6"/>
  <c r="F18" i="6"/>
  <c r="AI17" i="6"/>
  <c r="AD17" i="6"/>
  <c r="Y17" i="6"/>
  <c r="T17" i="6"/>
  <c r="O17" i="6"/>
  <c r="J17" i="6"/>
  <c r="I17" i="6"/>
  <c r="H17" i="6"/>
  <c r="G17" i="6"/>
  <c r="F17" i="6"/>
  <c r="AI16" i="6"/>
  <c r="AD16" i="6"/>
  <c r="Y16" i="6"/>
  <c r="T16" i="6"/>
  <c r="O16" i="6"/>
  <c r="J16" i="6"/>
  <c r="I16" i="6"/>
  <c r="H16" i="6"/>
  <c r="G16" i="6"/>
  <c r="F16" i="6"/>
  <c r="AM15" i="6"/>
  <c r="AL15" i="6"/>
  <c r="AK15" i="6"/>
  <c r="AJ15" i="6"/>
  <c r="AH15" i="6"/>
  <c r="AG15" i="6"/>
  <c r="AF15" i="6"/>
  <c r="AE15" i="6"/>
  <c r="AC15" i="6"/>
  <c r="AB15" i="6"/>
  <c r="AA15" i="6"/>
  <c r="Z15" i="6"/>
  <c r="X15" i="6"/>
  <c r="W15" i="6"/>
  <c r="V15" i="6"/>
  <c r="U15" i="6"/>
  <c r="S15" i="6"/>
  <c r="R15" i="6"/>
  <c r="Q15" i="6"/>
  <c r="P15" i="6"/>
  <c r="N15" i="6"/>
  <c r="L15" i="6"/>
  <c r="K15" i="6"/>
  <c r="AI14" i="6"/>
  <c r="AD14" i="6"/>
  <c r="Y14" i="6"/>
  <c r="T14" i="6"/>
  <c r="O14" i="6"/>
  <c r="M14" i="6"/>
  <c r="H14" i="6" s="1"/>
  <c r="J14" i="6"/>
  <c r="I14" i="6"/>
  <c r="G14" i="6"/>
  <c r="F14" i="6"/>
  <c r="AI13" i="6"/>
  <c r="AD13" i="6"/>
  <c r="Y13" i="6"/>
  <c r="T13" i="6"/>
  <c r="O13" i="6"/>
  <c r="M13" i="6"/>
  <c r="J13" i="6" s="1"/>
  <c r="I13" i="6"/>
  <c r="G13" i="6"/>
  <c r="F13" i="6"/>
  <c r="AI12" i="6"/>
  <c r="AD12" i="6"/>
  <c r="Y12" i="6"/>
  <c r="T12" i="6"/>
  <c r="O12" i="6"/>
  <c r="J12" i="6"/>
  <c r="I12" i="6"/>
  <c r="H12" i="6"/>
  <c r="G12" i="6"/>
  <c r="F12" i="6"/>
  <c r="AM11" i="6"/>
  <c r="AL11" i="6"/>
  <c r="AK11" i="6"/>
  <c r="AJ11" i="6"/>
  <c r="AH11" i="6"/>
  <c r="AG11" i="6"/>
  <c r="AF11" i="6"/>
  <c r="AE11" i="6"/>
  <c r="AC11" i="6"/>
  <c r="AB11" i="6"/>
  <c r="AA11" i="6"/>
  <c r="Z11" i="6"/>
  <c r="X11" i="6"/>
  <c r="W11" i="6"/>
  <c r="V11" i="6"/>
  <c r="U11" i="6"/>
  <c r="S11" i="6"/>
  <c r="R11" i="6"/>
  <c r="Q11" i="6"/>
  <c r="P11" i="6"/>
  <c r="N11" i="6"/>
  <c r="L11" i="6"/>
  <c r="K11" i="6"/>
  <c r="AD44" i="6" l="1"/>
  <c r="M52" i="6"/>
  <c r="E37" i="3" s="1"/>
  <c r="H18" i="6"/>
  <c r="H32" i="6"/>
  <c r="E32" i="6" s="1"/>
  <c r="J77" i="6"/>
  <c r="J61" i="6" s="1"/>
  <c r="H84" i="6"/>
  <c r="E84" i="6" s="1"/>
  <c r="H91" i="6"/>
  <c r="J95" i="6"/>
  <c r="E115" i="6"/>
  <c r="H38" i="6"/>
  <c r="E38" i="6" s="1"/>
  <c r="J48" i="6"/>
  <c r="J18" i="6"/>
  <c r="J15" i="6" s="1"/>
  <c r="H49" i="6"/>
  <c r="AI57" i="6"/>
  <c r="AI52" i="6" s="1"/>
  <c r="M61" i="6"/>
  <c r="H101" i="6"/>
  <c r="E101" i="6" s="1"/>
  <c r="E64" i="6"/>
  <c r="E69" i="6"/>
  <c r="AH10" i="6"/>
  <c r="M18" i="3" s="1"/>
  <c r="AK10" i="6"/>
  <c r="P16" i="3" s="1"/>
  <c r="AH39" i="6"/>
  <c r="O44" i="6"/>
  <c r="N10" i="6"/>
  <c r="E18" i="3" s="1"/>
  <c r="E14" i="6"/>
  <c r="X10" i="6"/>
  <c r="G18" i="3" s="1"/>
  <c r="F44" i="6"/>
  <c r="AD31" i="6"/>
  <c r="X60" i="6"/>
  <c r="G43" i="3" s="1"/>
  <c r="AI25" i="6"/>
  <c r="T44" i="6"/>
  <c r="Y57" i="6"/>
  <c r="P39" i="6"/>
  <c r="P30" i="6" s="1"/>
  <c r="F20" i="3" s="1"/>
  <c r="T25" i="6"/>
  <c r="AB10" i="6"/>
  <c r="J17" i="3" s="1"/>
  <c r="AL10" i="6"/>
  <c r="P17" i="3" s="1"/>
  <c r="AG60" i="6"/>
  <c r="M42" i="3" s="1"/>
  <c r="I11" i="6"/>
  <c r="AC10" i="6"/>
  <c r="J18" i="3" s="1"/>
  <c r="AM10" i="6"/>
  <c r="P18" i="3" s="1"/>
  <c r="E82" i="6"/>
  <c r="E45" i="6"/>
  <c r="E85" i="6"/>
  <c r="L10" i="6"/>
  <c r="E16" i="3" s="1"/>
  <c r="E19" i="6"/>
  <c r="E91" i="6"/>
  <c r="E106" i="6"/>
  <c r="J11" i="6"/>
  <c r="E12" i="6"/>
  <c r="E99" i="6"/>
  <c r="E24" i="6"/>
  <c r="G44" i="6"/>
  <c r="AI44" i="6"/>
  <c r="E67" i="6"/>
  <c r="E75" i="6"/>
  <c r="L39" i="6"/>
  <c r="L30" i="6" s="1"/>
  <c r="E21" i="3" s="1"/>
  <c r="AJ39" i="6"/>
  <c r="AJ30" i="6" s="1"/>
  <c r="P20" i="3" s="1"/>
  <c r="X39" i="6"/>
  <c r="E54" i="6"/>
  <c r="E55" i="6"/>
  <c r="O11" i="6"/>
  <c r="AA10" i="6"/>
  <c r="J16" i="3" s="1"/>
  <c r="H25" i="6"/>
  <c r="AE39" i="6"/>
  <c r="AE30" i="6" s="1"/>
  <c r="M20" i="3" s="1"/>
  <c r="G47" i="6"/>
  <c r="E77" i="6"/>
  <c r="E87" i="6"/>
  <c r="S10" i="6"/>
  <c r="F18" i="3" s="1"/>
  <c r="Y11" i="6"/>
  <c r="F31" i="6"/>
  <c r="F30" i="6" s="1"/>
  <c r="Y31" i="6"/>
  <c r="T39" i="6"/>
  <c r="AF39" i="6"/>
  <c r="AF30" i="6" s="1"/>
  <c r="M21" i="3" s="1"/>
  <c r="O57" i="6"/>
  <c r="O52" i="6" s="1"/>
  <c r="AH60" i="6"/>
  <c r="M43" i="3" s="1"/>
  <c r="E79" i="6"/>
  <c r="E102" i="6"/>
  <c r="E17" i="6"/>
  <c r="AI11" i="6"/>
  <c r="AD98" i="6"/>
  <c r="J39" i="6"/>
  <c r="U10" i="6"/>
  <c r="G15" i="3" s="1"/>
  <c r="AG39" i="6"/>
  <c r="AG30" i="6" s="1"/>
  <c r="M22" i="3" s="1"/>
  <c r="Z60" i="6"/>
  <c r="J40" i="3" s="1"/>
  <c r="AJ60" i="6"/>
  <c r="P40" i="3" s="1"/>
  <c r="E65" i="6"/>
  <c r="V60" i="6"/>
  <c r="G41" i="3" s="1"/>
  <c r="E88" i="6"/>
  <c r="O47" i="6"/>
  <c r="J57" i="6"/>
  <c r="J52" i="6" s="1"/>
  <c r="V10" i="6"/>
  <c r="G16" i="3" s="1"/>
  <c r="AI31" i="6"/>
  <c r="AA39" i="6"/>
  <c r="AA30" i="6" s="1"/>
  <c r="AK39" i="6"/>
  <c r="AK30" i="6" s="1"/>
  <c r="P21" i="3" s="1"/>
  <c r="P60" i="6"/>
  <c r="F40" i="3" s="1"/>
  <c r="AA60" i="6"/>
  <c r="J41" i="3" s="1"/>
  <c r="AK60" i="6"/>
  <c r="P41" i="3" s="1"/>
  <c r="O61" i="6"/>
  <c r="W60" i="6"/>
  <c r="G42" i="3" s="1"/>
  <c r="E114" i="6"/>
  <c r="F47" i="6"/>
  <c r="E78" i="6"/>
  <c r="AB39" i="6"/>
  <c r="AB30" i="6" s="1"/>
  <c r="Z39" i="6"/>
  <c r="Z30" i="6" s="1"/>
  <c r="J20" i="3" s="1"/>
  <c r="J44" i="6"/>
  <c r="F52" i="6"/>
  <c r="Q60" i="6"/>
  <c r="F41" i="3" s="1"/>
  <c r="AB60" i="6"/>
  <c r="J42" i="3" s="1"/>
  <c r="AL60" i="6"/>
  <c r="P42" i="3" s="1"/>
  <c r="E66" i="6"/>
  <c r="T98" i="6"/>
  <c r="AF10" i="6"/>
  <c r="M16" i="3" s="1"/>
  <c r="AL39" i="6"/>
  <c r="Y98" i="6"/>
  <c r="W10" i="6"/>
  <c r="G17" i="3" s="1"/>
  <c r="AD15" i="6"/>
  <c r="I25" i="6"/>
  <c r="AD57" i="6"/>
  <c r="AD52" i="6" s="1"/>
  <c r="U60" i="6"/>
  <c r="G40" i="3" s="1"/>
  <c r="T80" i="6"/>
  <c r="E97" i="6"/>
  <c r="AF60" i="6"/>
  <c r="M41" i="3" s="1"/>
  <c r="G15" i="6"/>
  <c r="AI15" i="6"/>
  <c r="T15" i="6"/>
  <c r="J25" i="6"/>
  <c r="W39" i="6"/>
  <c r="W30" i="6" s="1"/>
  <c r="G22" i="3" s="1"/>
  <c r="Y44" i="6"/>
  <c r="Y47" i="6"/>
  <c r="E56" i="6"/>
  <c r="K60" i="6"/>
  <c r="E40" i="3" s="1"/>
  <c r="N60" i="6"/>
  <c r="E43" i="3" s="1"/>
  <c r="AE10" i="6"/>
  <c r="M15" i="3" s="1"/>
  <c r="E68" i="6"/>
  <c r="AI98" i="6"/>
  <c r="I44" i="6"/>
  <c r="E50" i="6"/>
  <c r="E90" i="6"/>
  <c r="AE60" i="6"/>
  <c r="M40" i="3" s="1"/>
  <c r="Y15" i="6"/>
  <c r="E23" i="6"/>
  <c r="Y20" i="6"/>
  <c r="I31" i="6"/>
  <c r="M39" i="6"/>
  <c r="H42" i="6"/>
  <c r="Q39" i="6"/>
  <c r="Q30" i="6" s="1"/>
  <c r="F21" i="3" s="1"/>
  <c r="E49" i="6"/>
  <c r="AD47" i="6"/>
  <c r="L60" i="6"/>
  <c r="E41" i="3" s="1"/>
  <c r="E63" i="6"/>
  <c r="E73" i="6"/>
  <c r="E92" i="6"/>
  <c r="E46" i="6"/>
  <c r="T57" i="6"/>
  <c r="T52" i="6" s="1"/>
  <c r="E18" i="6"/>
  <c r="U39" i="6"/>
  <c r="U30" i="6" s="1"/>
  <c r="AC60" i="6"/>
  <c r="J43" i="3" s="1"/>
  <c r="V39" i="6"/>
  <c r="V30" i="6" s="1"/>
  <c r="P10" i="6"/>
  <c r="F15" i="3" s="1"/>
  <c r="AD20" i="6"/>
  <c r="I20" i="6"/>
  <c r="N39" i="6"/>
  <c r="N30" i="6" s="1"/>
  <c r="E23" i="3" s="1"/>
  <c r="I39" i="6"/>
  <c r="AI47" i="6"/>
  <c r="E74" i="6"/>
  <c r="E111" i="6"/>
  <c r="Y39" i="6"/>
  <c r="O98" i="6"/>
  <c r="AC39" i="6"/>
  <c r="AI80" i="6"/>
  <c r="J98" i="6"/>
  <c r="K10" i="6"/>
  <c r="E15" i="3" s="1"/>
  <c r="S60" i="6"/>
  <c r="F43" i="3" s="1"/>
  <c r="E104" i="6"/>
  <c r="I15" i="6"/>
  <c r="AJ10" i="6"/>
  <c r="P15" i="3" s="1"/>
  <c r="G20" i="6"/>
  <c r="AI20" i="6"/>
  <c r="T20" i="6"/>
  <c r="J20" i="6"/>
  <c r="AL30" i="6"/>
  <c r="E35" i="6"/>
  <c r="T31" i="6"/>
  <c r="E48" i="6"/>
  <c r="AI61" i="6"/>
  <c r="T61" i="6"/>
  <c r="E83" i="6"/>
  <c r="E86" i="6"/>
  <c r="E95" i="6"/>
  <c r="E100" i="6"/>
  <c r="E108" i="6"/>
  <c r="E37" i="6"/>
  <c r="E16" i="6"/>
  <c r="F15" i="6"/>
  <c r="AI39" i="6"/>
  <c r="I52" i="6"/>
  <c r="E81" i="6"/>
  <c r="H13" i="6"/>
  <c r="H11" i="6" s="1"/>
  <c r="M11" i="6"/>
  <c r="M10" i="6" s="1"/>
  <c r="E17" i="3" s="1"/>
  <c r="H20" i="6"/>
  <c r="H47" i="6"/>
  <c r="E57" i="6"/>
  <c r="I80" i="6"/>
  <c r="F80" i="6"/>
  <c r="AG10" i="6"/>
  <c r="M17" i="3" s="1"/>
  <c r="F11" i="6"/>
  <c r="E28" i="6"/>
  <c r="E36" i="6"/>
  <c r="K39" i="6"/>
  <c r="K30" i="6" s="1"/>
  <c r="AD39" i="6"/>
  <c r="G61" i="6"/>
  <c r="G80" i="6"/>
  <c r="AD80" i="6"/>
  <c r="E89" i="6"/>
  <c r="E93" i="6"/>
  <c r="M98" i="6"/>
  <c r="M60" i="6" s="1"/>
  <c r="E42" i="3" s="1"/>
  <c r="E103" i="6"/>
  <c r="E113" i="6"/>
  <c r="G52" i="6"/>
  <c r="I47" i="6"/>
  <c r="H15" i="6"/>
  <c r="G11" i="6"/>
  <c r="AD11" i="6"/>
  <c r="M31" i="6"/>
  <c r="O31" i="6"/>
  <c r="H44" i="6"/>
  <c r="T47" i="6"/>
  <c r="E62" i="6"/>
  <c r="E76" i="6"/>
  <c r="O80" i="6"/>
  <c r="J92" i="6"/>
  <c r="F98" i="6"/>
  <c r="E21" i="6"/>
  <c r="F20" i="6"/>
  <c r="G31" i="6"/>
  <c r="G30" i="6" s="1"/>
  <c r="Y61" i="6"/>
  <c r="F42" i="3"/>
  <c r="H70" i="6"/>
  <c r="E70" i="6" s="1"/>
  <c r="T11" i="6"/>
  <c r="Z10" i="6"/>
  <c r="J15" i="3" s="1"/>
  <c r="Y25" i="6"/>
  <c r="M47" i="6"/>
  <c r="E32" i="3" s="1"/>
  <c r="Y52" i="6"/>
  <c r="F61" i="6"/>
  <c r="G98" i="6"/>
  <c r="E110" i="6"/>
  <c r="E26" i="6"/>
  <c r="G25" i="6"/>
  <c r="O25" i="6"/>
  <c r="O41" i="6"/>
  <c r="O40" i="6" s="1"/>
  <c r="O39" i="6" s="1"/>
  <c r="H41" i="6"/>
  <c r="H40" i="6" s="1"/>
  <c r="R40" i="6"/>
  <c r="R39" i="6" s="1"/>
  <c r="R30" i="6" s="1"/>
  <c r="F22" i="3" s="1"/>
  <c r="E53" i="6"/>
  <c r="J94" i="6"/>
  <c r="H94" i="6"/>
  <c r="E94" i="6" s="1"/>
  <c r="S39" i="6"/>
  <c r="S30" i="6" s="1"/>
  <c r="Q10" i="6"/>
  <c r="F16" i="3" s="1"/>
  <c r="O15" i="6"/>
  <c r="O20" i="6"/>
  <c r="E51" i="6"/>
  <c r="I61" i="6"/>
  <c r="AD61" i="6"/>
  <c r="R10" i="6"/>
  <c r="F17" i="3" s="1"/>
  <c r="F25" i="6"/>
  <c r="AD25" i="6"/>
  <c r="J36" i="6"/>
  <c r="J31" i="6" s="1"/>
  <c r="J50" i="6"/>
  <c r="J47" i="6" s="1"/>
  <c r="H57" i="6"/>
  <c r="H52" i="6" s="1"/>
  <c r="E71" i="6"/>
  <c r="Y80" i="6"/>
  <c r="J96" i="6"/>
  <c r="H96" i="6"/>
  <c r="E96" i="6" s="1"/>
  <c r="I98" i="6"/>
  <c r="E107" i="6"/>
  <c r="H98" i="6" l="1"/>
  <c r="AC9" i="6"/>
  <c r="AC120" i="6" s="1"/>
  <c r="H31" i="6"/>
  <c r="E44" i="6"/>
  <c r="AD30" i="6"/>
  <c r="E15" i="6"/>
  <c r="X9" i="6"/>
  <c r="X120" i="6" s="1"/>
  <c r="AH9" i="6"/>
  <c r="AH120" i="6" s="1"/>
  <c r="AI30" i="6"/>
  <c r="AK9" i="6"/>
  <c r="I10" i="6"/>
  <c r="AI10" i="6"/>
  <c r="T30" i="6"/>
  <c r="Y10" i="6"/>
  <c r="AM9" i="6"/>
  <c r="AM120" i="6" s="1"/>
  <c r="V9" i="6"/>
  <c r="G21" i="3"/>
  <c r="AL9" i="6"/>
  <c r="P22" i="3"/>
  <c r="J10" i="6"/>
  <c r="U9" i="6"/>
  <c r="G20" i="3"/>
  <c r="AB9" i="6"/>
  <c r="J22" i="3"/>
  <c r="AA9" i="6"/>
  <c r="J21" i="3"/>
  <c r="K9" i="6"/>
  <c r="E20" i="3"/>
  <c r="S9" i="6"/>
  <c r="F23" i="3"/>
  <c r="Y30" i="6"/>
  <c r="P9" i="6"/>
  <c r="E52" i="6"/>
  <c r="E47" i="6"/>
  <c r="E41" i="6"/>
  <c r="E40" i="6" s="1"/>
  <c r="E39" i="6" s="1"/>
  <c r="L9" i="6"/>
  <c r="J30" i="6"/>
  <c r="E25" i="6"/>
  <c r="T10" i="6"/>
  <c r="O30" i="6"/>
  <c r="AG9" i="6"/>
  <c r="AJ9" i="6"/>
  <c r="I30" i="6"/>
  <c r="AF9" i="6"/>
  <c r="W9" i="6"/>
  <c r="M30" i="6"/>
  <c r="E22" i="3" s="1"/>
  <c r="N9" i="6"/>
  <c r="T60" i="6"/>
  <c r="AE9" i="6"/>
  <c r="O10" i="6"/>
  <c r="J80" i="6"/>
  <c r="J60" i="6" s="1"/>
  <c r="Q9" i="6"/>
  <c r="O60" i="6"/>
  <c r="AI60" i="6"/>
  <c r="H39" i="6"/>
  <c r="H30" i="6" s="1"/>
  <c r="Y60" i="6"/>
  <c r="G10" i="6"/>
  <c r="H10" i="6"/>
  <c r="E98" i="6"/>
  <c r="AD60" i="6"/>
  <c r="E20" i="6"/>
  <c r="E31" i="6"/>
  <c r="F60" i="6"/>
  <c r="AD10" i="6"/>
  <c r="F10" i="6"/>
  <c r="H61" i="6"/>
  <c r="G60" i="6"/>
  <c r="R9" i="6"/>
  <c r="E80" i="6"/>
  <c r="AI9" i="6"/>
  <c r="I60" i="6"/>
  <c r="E61" i="6"/>
  <c r="E13" i="6"/>
  <c r="E11" i="6" s="1"/>
  <c r="Z9" i="6"/>
  <c r="H80" i="6"/>
  <c r="T9" i="6" l="1"/>
  <c r="M9" i="6"/>
  <c r="AD9" i="6"/>
  <c r="Y9" i="6"/>
  <c r="F9" i="6"/>
  <c r="E10" i="6"/>
  <c r="O9" i="6"/>
  <c r="J9" i="6"/>
  <c r="I9" i="6"/>
  <c r="E30" i="6"/>
  <c r="E60" i="6"/>
  <c r="G9" i="6"/>
  <c r="H60" i="6"/>
  <c r="H9" i="6" s="1"/>
  <c r="E9" i="6" l="1"/>
  <c r="H11" i="3" l="1"/>
  <c r="I11" i="3"/>
  <c r="K11" i="3"/>
  <c r="L11" i="3"/>
  <c r="N11" i="3"/>
  <c r="O11" i="3"/>
  <c r="H12" i="3"/>
  <c r="I12" i="3"/>
  <c r="K12" i="3"/>
  <c r="L12" i="3"/>
  <c r="N12" i="3"/>
  <c r="O12" i="3"/>
  <c r="H13" i="3"/>
  <c r="I13" i="3"/>
  <c r="I9" i="3" s="1"/>
  <c r="K13" i="3"/>
  <c r="L13" i="3"/>
  <c r="N13" i="3"/>
  <c r="O13" i="3"/>
  <c r="H10" i="3"/>
  <c r="I10" i="3"/>
  <c r="K10" i="3"/>
  <c r="K9" i="3" s="1"/>
  <c r="L10" i="3"/>
  <c r="N10" i="3"/>
  <c r="O10" i="3"/>
  <c r="O39" i="3"/>
  <c r="N39" i="3"/>
  <c r="L39" i="3"/>
  <c r="K39" i="3"/>
  <c r="I39" i="3"/>
  <c r="H39" i="3"/>
  <c r="O34" i="3"/>
  <c r="N34" i="3"/>
  <c r="L34" i="3"/>
  <c r="K34" i="3"/>
  <c r="I34" i="3"/>
  <c r="H34" i="3"/>
  <c r="O29" i="3"/>
  <c r="N29" i="3"/>
  <c r="L29" i="3"/>
  <c r="K29" i="3"/>
  <c r="I29" i="3"/>
  <c r="H29" i="3"/>
  <c r="O24" i="3"/>
  <c r="N24" i="3"/>
  <c r="L24" i="3"/>
  <c r="K24" i="3"/>
  <c r="I24" i="3"/>
  <c r="H24" i="3"/>
  <c r="O19" i="3"/>
  <c r="N19" i="3"/>
  <c r="L19" i="3"/>
  <c r="K19" i="3"/>
  <c r="I19" i="3"/>
  <c r="H19" i="3"/>
  <c r="H14" i="3"/>
  <c r="I14" i="3"/>
  <c r="K14" i="3"/>
  <c r="L14" i="3"/>
  <c r="N14" i="3"/>
  <c r="O14" i="3"/>
  <c r="D17" i="3"/>
  <c r="N9" i="3" l="1"/>
  <c r="F29" i="3"/>
  <c r="P39" i="3"/>
  <c r="M39" i="3"/>
  <c r="D42" i="3"/>
  <c r="J39" i="3"/>
  <c r="G39" i="3"/>
  <c r="D41" i="3"/>
  <c r="D40" i="3"/>
  <c r="D43" i="3"/>
  <c r="F39" i="3"/>
  <c r="E39" i="3"/>
  <c r="F34" i="3"/>
  <c r="G34" i="3"/>
  <c r="D38" i="3"/>
  <c r="D37" i="3"/>
  <c r="J34" i="3"/>
  <c r="M34" i="3"/>
  <c r="P34" i="3"/>
  <c r="P29" i="3"/>
  <c r="D33" i="3"/>
  <c r="M29" i="3"/>
  <c r="J29" i="3"/>
  <c r="D32" i="3"/>
  <c r="G29" i="3"/>
  <c r="D30" i="3"/>
  <c r="D31" i="3"/>
  <c r="E29" i="3"/>
  <c r="E24" i="3"/>
  <c r="F12" i="3"/>
  <c r="F24" i="3"/>
  <c r="D28" i="3"/>
  <c r="G24" i="3"/>
  <c r="J24" i="3"/>
  <c r="D27" i="3"/>
  <c r="M24" i="3"/>
  <c r="D26" i="3"/>
  <c r="P24" i="3"/>
  <c r="D25" i="3"/>
  <c r="E12" i="3"/>
  <c r="H9" i="3"/>
  <c r="O9" i="3"/>
  <c r="L9" i="3"/>
  <c r="L48" i="3" s="1"/>
  <c r="D39" i="3" l="1"/>
  <c r="D29" i="3"/>
  <c r="D24" i="3"/>
  <c r="J13" i="3" l="1"/>
  <c r="M13" i="3"/>
  <c r="P13" i="3"/>
  <c r="P12" i="3"/>
  <c r="J12" i="3"/>
  <c r="P19" i="3" l="1"/>
  <c r="P11" i="3"/>
  <c r="M12" i="3"/>
  <c r="M11" i="3"/>
  <c r="M19" i="3"/>
  <c r="J19" i="3"/>
  <c r="J11" i="3"/>
  <c r="P10" i="3"/>
  <c r="P14" i="3"/>
  <c r="M10" i="3"/>
  <c r="M14" i="3"/>
  <c r="J10" i="3"/>
  <c r="J14" i="3"/>
  <c r="J9" i="3" l="1"/>
  <c r="M9" i="3"/>
  <c r="P9" i="3"/>
  <c r="F19" i="3" l="1"/>
  <c r="D21" i="3"/>
  <c r="D20" i="3"/>
  <c r="E19" i="3"/>
  <c r="D36" i="3" l="1"/>
  <c r="E34" i="3"/>
  <c r="D35" i="3"/>
  <c r="D34" i="3" l="1"/>
  <c r="G12" i="3"/>
  <c r="D12" i="3" s="1"/>
  <c r="D22" i="3"/>
  <c r="G19" i="3" l="1"/>
  <c r="D23" i="3"/>
  <c r="D19" i="3" s="1"/>
  <c r="G13" i="3"/>
  <c r="G11" i="3"/>
  <c r="F13" i="3"/>
  <c r="F11" i="3"/>
  <c r="G14" i="3" l="1"/>
  <c r="G10" i="3"/>
  <c r="G9" i="3" s="1"/>
  <c r="F10" i="3"/>
  <c r="F9" i="3" s="1"/>
  <c r="F14" i="3"/>
  <c r="E13" i="3"/>
  <c r="D13" i="3" s="1"/>
  <c r="D18" i="3"/>
  <c r="D16" i="3"/>
  <c r="E11" i="3"/>
  <c r="D11" i="3" s="1"/>
  <c r="D15" i="3"/>
  <c r="E14" i="3"/>
  <c r="E10" i="3"/>
  <c r="D14" i="3" l="1"/>
  <c r="D10" i="3"/>
  <c r="D9" i="3" s="1"/>
  <c r="E9" i="3"/>
</calcChain>
</file>

<file path=xl/comments1.xml><?xml version="1.0" encoding="utf-8"?>
<comments xmlns="http://schemas.openxmlformats.org/spreadsheetml/2006/main">
  <authors>
    <author>Автор</author>
  </authors>
  <commentList>
    <comment ref="G14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уточнение данных</t>
        </r>
      </text>
    </comment>
    <comment ref="H17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п.6.5 Решение Совета муниципального района "Заполярный район" от 26.11.2015 N 177-р (ред. от 24.01.2018) "Об утверждении Положения о наградах и почетных званиях Заполярного района и признании утратившими силу некоторых решений Совета Заполярного района"</t>
        </r>
      </text>
    </comment>
  </commentList>
</comments>
</file>

<file path=xl/comments2.xml><?xml version="1.0" encoding="utf-8"?>
<comments xmlns="http://schemas.openxmlformats.org/spreadsheetml/2006/main">
  <authors>
    <author>Автор</author>
  </authors>
  <commentList>
    <comment ref="M15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муниципалов 50
</t>
        </r>
      </text>
    </comment>
    <comment ref="M20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1-Адм 1-УФ</t>
        </r>
      </text>
    </comment>
    <comment ref="P20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4-Адм,1-УФ, 0-УМИ</t>
        </r>
      </text>
    </comment>
  </commentList>
</comments>
</file>

<file path=xl/sharedStrings.xml><?xml version="1.0" encoding="utf-8"?>
<sst xmlns="http://schemas.openxmlformats.org/spreadsheetml/2006/main" count="790" uniqueCount="364">
  <si>
    <t>Исполнитель</t>
  </si>
  <si>
    <t>Всего</t>
  </si>
  <si>
    <t>№</t>
  </si>
  <si>
    <t>в том числе</t>
  </si>
  <si>
    <t>Наименование 
мероприятия</t>
  </si>
  <si>
    <t>Подпрограмма 1 "Реализация функций муниципального управления"</t>
  </si>
  <si>
    <t>МКУ ЗР "Северное"</t>
  </si>
  <si>
    <t>2017 год</t>
  </si>
  <si>
    <t>2018 год</t>
  </si>
  <si>
    <t>2019 год</t>
  </si>
  <si>
    <t>УМИ Администрации Заполярного района</t>
  </si>
  <si>
    <t xml:space="preserve"> Обеспечение деятельности МКУ ЗР "Северное"</t>
  </si>
  <si>
    <t>Транспортные расходы</t>
  </si>
  <si>
    <t xml:space="preserve">Издание и распространение официального периодического печатного издания муниципального района «Заполярный район» «Официальный бюллетень Заполярного района»
</t>
  </si>
  <si>
    <t>Издание и распространение общественно-политической газеты Заполярного района «Заполярный вестник+»</t>
  </si>
  <si>
    <t>Раздел 1.  Осуществление функций органов местного самоуправления</t>
  </si>
  <si>
    <t>Раздел 2.  Диспансеризация муниципальных служащих</t>
  </si>
  <si>
    <t>Подпрограмма 3 "Материально-техническое и транспортное обеспечение деятельности органов местного самоуправления Заполярного района"</t>
  </si>
  <si>
    <t>Подпрограмма 4 "Обеспечение информационной открытости органов местного самоуправления Заполярного района"</t>
  </si>
  <si>
    <t>Подпрограмма 5 "Организация и проведение официальных мероприятий муниципального района "Заполярный район"</t>
  </si>
  <si>
    <t>Уплата взносов на капитальный ремонт по помещениям в многоквартирных домах, включенных в региональную программу капитального ремонта жилищного фонда</t>
  </si>
  <si>
    <t>1.1.</t>
  </si>
  <si>
    <t>1.2.</t>
  </si>
  <si>
    <t>1.3.</t>
  </si>
  <si>
    <t>5.1.</t>
  </si>
  <si>
    <t>5.2.</t>
  </si>
  <si>
    <t>5.3.</t>
  </si>
  <si>
    <t>5.4.</t>
  </si>
  <si>
    <t>5.5.</t>
  </si>
  <si>
    <t>федеральный бюджет</t>
  </si>
  <si>
    <t>окружной бюджет</t>
  </si>
  <si>
    <t>районный бюджет</t>
  </si>
  <si>
    <t>внебюдж источники</t>
  </si>
  <si>
    <t>6.1.</t>
  </si>
  <si>
    <t>6.2.</t>
  </si>
  <si>
    <t>6.3.</t>
  </si>
  <si>
    <t>Администрация МО поселения НАО</t>
  </si>
  <si>
    <t>Подпрограмма 2 "Управление муниципальным имуществом"</t>
  </si>
  <si>
    <t>1.1.1.</t>
  </si>
  <si>
    <t>1.1.2.</t>
  </si>
  <si>
    <t>1.1.3.</t>
  </si>
  <si>
    <t>1.2.1.</t>
  </si>
  <si>
    <t>1.2.2.</t>
  </si>
  <si>
    <t>1.2.3.</t>
  </si>
  <si>
    <t>1.2.4.</t>
  </si>
  <si>
    <t>1.3.1.</t>
  </si>
  <si>
    <t>1.3.2.</t>
  </si>
  <si>
    <t>1.3.3.</t>
  </si>
  <si>
    <t>1.3.4.</t>
  </si>
  <si>
    <t>2.1.</t>
  </si>
  <si>
    <t>2.2.</t>
  </si>
  <si>
    <t>3.1.</t>
  </si>
  <si>
    <t>3.2.</t>
  </si>
  <si>
    <t>4.1.</t>
  </si>
  <si>
    <t>4.2.</t>
  </si>
  <si>
    <t>4.3.</t>
  </si>
  <si>
    <t>4.4.</t>
  </si>
  <si>
    <t>Раздел 2. Расходы на выплату пенсий за выслугу лет лицам, замещавшим выборные должности и должности муниципальной службы</t>
  </si>
  <si>
    <t>Раздел 3. Расходы, связанные с организацией и проведением выборов депутатов законодательных (представительных) органов местного самоуправления и глав местных администраций</t>
  </si>
  <si>
    <t>1.4.</t>
  </si>
  <si>
    <t>Расходы на выплату пенсий за выслугу лет лицам, замещавшим должности муниципальной службы</t>
  </si>
  <si>
    <t>1.4.1.</t>
  </si>
  <si>
    <t>1.4.2.</t>
  </si>
  <si>
    <t>1.4.3.</t>
  </si>
  <si>
    <t>Расходы на выплаты гражданам, которым присвоено звание "Почетный гражданин Заполярного района"</t>
  </si>
  <si>
    <t>Расходы на выплату пенсий за выслугу лет лицам, замещавшим выборные должности местного самоуправления</t>
  </si>
  <si>
    <t>Администрация Заполярного района</t>
  </si>
  <si>
    <t>Управление финансов Администрации Заполярного района</t>
  </si>
  <si>
    <t>УЖКХиС Администрации Заполярного района</t>
  </si>
  <si>
    <t>МО "Андегский сельсовет" НАО</t>
  </si>
  <si>
    <t>МО "Великовисочный сельсовет" НАО</t>
  </si>
  <si>
    <t>МО "Карский сельсовет" НАО</t>
  </si>
  <si>
    <t>МО "Колгуевский сельсовет" НАО</t>
  </si>
  <si>
    <t>МО "Коткинский сельсовет" НАО</t>
  </si>
  <si>
    <t>МО "Малоземельский сельсовет" НАО</t>
  </si>
  <si>
    <t>МО "Омский сельсовет" НАО</t>
  </si>
  <si>
    <t>МО "Пешский сельсовет" НАО</t>
  </si>
  <si>
    <t>МО "Поселок Амдерма" НАО</t>
  </si>
  <si>
    <t>МО "Приморско-Куйский сельсовет" НАО</t>
  </si>
  <si>
    <t>МО "Пустозерский сельсовет" НАО</t>
  </si>
  <si>
    <t>МО "Тельвисочный сельсовет" НАО</t>
  </si>
  <si>
    <t>МО "Тиманский сельсовет" НАО</t>
  </si>
  <si>
    <t>МО "Хоседа-Хардский сельсовет" НАО</t>
  </si>
  <si>
    <t>МО "Шоинский сельсовет" НАО</t>
  </si>
  <si>
    <t>МО "Юшарский сельсовет" НАО</t>
  </si>
  <si>
    <t>Организация участия органов местного самоуправления в официальных мероприятиях</t>
  </si>
  <si>
    <t xml:space="preserve">Подготовка и выпуск сувенирной, презентационной и полиграфической продукции </t>
  </si>
  <si>
    <t>Наградная политика</t>
  </si>
  <si>
    <t xml:space="preserve">Организация и проведение ежегодного конкурса "Гордость Заполярного района" </t>
  </si>
  <si>
    <t>Поддержка выставок, организация и проведение информационных мероприятий</t>
  </si>
  <si>
    <t>Публикация информации в печатных изданиях, размещение на телеканале и радиостанциях</t>
  </si>
  <si>
    <t>Обслуживание сайта органов местного самоуправления Заполярного района</t>
  </si>
  <si>
    <t>Заказчик</t>
  </si>
  <si>
    <t>Эксплуатационные и иные расходы по содержанию объектов до передачи в собственность муниципальных образований поселений</t>
  </si>
  <si>
    <t>Организация и проведение мероприятий в рамках празднования Дня Заполярного района и Дня герба и флага Заполярного района</t>
  </si>
  <si>
    <t>приобретение часов</t>
  </si>
  <si>
    <t>разработка дизайн-макета, проектирование с привязкой к местности, изготовление и установка въездных знаков Заполярного района</t>
  </si>
  <si>
    <t>Расходы на предоставление дополнительных мер социальной поддержки для граждан, уволенных в запас после прохождения военной службы по призыву в Вооруженных Силах Российской Федерации</t>
  </si>
  <si>
    <t>1.4.4.</t>
  </si>
  <si>
    <t>Раздел 4.  Расходы на исполнение публичных обязательств и иных выплат</t>
  </si>
  <si>
    <t>2.1.1.</t>
  </si>
  <si>
    <t>2.1.2.</t>
  </si>
  <si>
    <t>Мероприятия по землеустройству и землепользованию</t>
  </si>
  <si>
    <t>2.1.3.</t>
  </si>
  <si>
    <t>2.1.4.</t>
  </si>
  <si>
    <t>2.1.5.</t>
  </si>
  <si>
    <t>2.2.1.</t>
  </si>
  <si>
    <t>Ремонт инженерных сетей в здании Администрации МО "Поселок Амдерма" НАО"</t>
  </si>
  <si>
    <t>Расходы, связанные с содержанием муниципального имущества, находящегося в казне</t>
  </si>
  <si>
    <t>УЖКХиС Администрации Заполярного района, Администрация Заполярного района</t>
  </si>
  <si>
    <t>6.1.1</t>
  </si>
  <si>
    <t>6.1.2</t>
  </si>
  <si>
    <t>6.1.3</t>
  </si>
  <si>
    <t>6.1.4</t>
  </si>
  <si>
    <t>6.1.5</t>
  </si>
  <si>
    <t>6.1.6</t>
  </si>
  <si>
    <t>6.1.7</t>
  </si>
  <si>
    <t>6.1.8</t>
  </si>
  <si>
    <t>6.1.9</t>
  </si>
  <si>
    <t>6.1.10</t>
  </si>
  <si>
    <t>6.1.11</t>
  </si>
  <si>
    <t>6.1.12</t>
  </si>
  <si>
    <t>6.1.13</t>
  </si>
  <si>
    <t>6.1.14</t>
  </si>
  <si>
    <t>6.1.15</t>
  </si>
  <si>
    <t>6.1.16</t>
  </si>
  <si>
    <t>6.2.1</t>
  </si>
  <si>
    <t>6.2.2</t>
  </si>
  <si>
    <t>6.2.3</t>
  </si>
  <si>
    <t>6.2.4</t>
  </si>
  <si>
    <t>6.2.5</t>
  </si>
  <si>
    <t>6.2.6</t>
  </si>
  <si>
    <t>6.2.7</t>
  </si>
  <si>
    <t>6.2.8</t>
  </si>
  <si>
    <t>6.2.9</t>
  </si>
  <si>
    <t>6.2.10</t>
  </si>
  <si>
    <t>6.2.11</t>
  </si>
  <si>
    <t>6.2.12</t>
  </si>
  <si>
    <t>6.2.13</t>
  </si>
  <si>
    <t>6.2.14</t>
  </si>
  <si>
    <t>6.2.15</t>
  </si>
  <si>
    <t>6.3.1</t>
  </si>
  <si>
    <t>6.3.2</t>
  </si>
  <si>
    <t>6.3.3</t>
  </si>
  <si>
    <t>6.3.4</t>
  </si>
  <si>
    <t>6.3.5</t>
  </si>
  <si>
    <t>6.3.6</t>
  </si>
  <si>
    <t>6.3.7</t>
  </si>
  <si>
    <t>6.3.8</t>
  </si>
  <si>
    <t>6.3.9</t>
  </si>
  <si>
    <t>6.3.10</t>
  </si>
  <si>
    <t>6.3.11</t>
  </si>
  <si>
    <t>6.3.12</t>
  </si>
  <si>
    <t>6.3.13</t>
  </si>
  <si>
    <t>6.3.14</t>
  </si>
  <si>
    <t>6.3.15</t>
  </si>
  <si>
    <t>Раздел 1. Управление муниципальной собственностью</t>
  </si>
  <si>
    <t>Приложение 1 к  муниципальной программе "Развитие административной системы местного самоуправления муниципального района "Заполярный район" на 2017 - 2022 годы"</t>
  </si>
  <si>
    <t>МП "Развитие административной системы местного самоуправления муниципального района "Заполярный район" на 2017-2022 годы"</t>
  </si>
  <si>
    <t>Всего на 2017-2022 годы</t>
  </si>
  <si>
    <t>2020 год</t>
  </si>
  <si>
    <t>2021 год</t>
  </si>
  <si>
    <t>2022 год</t>
  </si>
  <si>
    <t>МО "Канинский сельсовет" НАО</t>
  </si>
  <si>
    <t>МО "Городское поселение "Рабочий поселок Искателей"</t>
  </si>
  <si>
    <t>6.2.16</t>
  </si>
  <si>
    <t>6.2.17</t>
  </si>
  <si>
    <t>6.1.17</t>
  </si>
  <si>
    <t>6.1.18</t>
  </si>
  <si>
    <t>6.3.16</t>
  </si>
  <si>
    <t>6.3.17</t>
  </si>
  <si>
    <t>Подпрограмма 6 "Возмещение части затрат органов местного самоуправления поселений Ненецкого автономного округа"</t>
  </si>
  <si>
    <t>2.2.1.1</t>
  </si>
  <si>
    <t>Оценка недвижимости, признание прав и регулирование отношений по муниципальной собственности</t>
  </si>
  <si>
    <t>Эксплуатационные и иные расходы по содержанию объектов до передачи в государственную собственность, собственность муниципальных образований поселений, в оперативное управление муниципальным учреждениям и казенным предприятиям, в хозяйственное ведение муниципальным унитарным предприятиям</t>
  </si>
  <si>
    <t>Администрация Заполярного района, МКУ ЗР "Северное"</t>
  </si>
  <si>
    <t>Раздел 2. Приобретение и содержание муниципального имущества</t>
  </si>
  <si>
    <t>2.2.2.</t>
  </si>
  <si>
    <t>Приобретение и доставка модульного здания в с. Шойна (здание Администрации МО «Шоинский сельсовет» НАО)</t>
  </si>
  <si>
    <t>2.2.2.1.</t>
  </si>
  <si>
    <t>Приобретение муниципального имущества</t>
  </si>
  <si>
    <t>Перечень мероприятий муниципальной программы "Развитие административной системы местного самоуправления муниципального района "Заполярный район" на 2017-2022 годы"</t>
  </si>
  <si>
    <t>Приложение 2 к  муниципальной программе "Развитие административной системы местного самоуправления муниципального района "Заполярный район" на 2017 - 2022 годы"</t>
  </si>
  <si>
    <t>Ресурсное обеспечение реализации муниципальной программы "Развитие административной системы местного самоуправления муниципального района "Заполярный район" на 2017-2022 годы"</t>
  </si>
  <si>
    <t>Источник финансирования</t>
  </si>
  <si>
    <t>Всего, в том числе:</t>
  </si>
  <si>
    <t>в том числе:</t>
  </si>
  <si>
    <t>внебюджетные источники</t>
  </si>
  <si>
    <t>Объем финансирования, тыс. рублей</t>
  </si>
  <si>
    <t>Цель</t>
  </si>
  <si>
    <t>Задачи</t>
  </si>
  <si>
    <t>Целевой показатель</t>
  </si>
  <si>
    <t>Единица измерения</t>
  </si>
  <si>
    <t>план на 2016 год</t>
  </si>
  <si>
    <t>план на 2017 год</t>
  </si>
  <si>
    <t>факт</t>
  </si>
  <si>
    <t>план на 2018 год</t>
  </si>
  <si>
    <t>план</t>
  </si>
  <si>
    <t xml:space="preserve">Повышение эффективности деятельности органов местного самоуправления муниципального района "Заполярный район"
</t>
  </si>
  <si>
    <t>Обеспечение деятельности  органов местного самоуправления муниципального района "Заполярный район"</t>
  </si>
  <si>
    <t xml:space="preserve">финансовое обеспечение деятельности Администрации Заполярного района в </t>
  </si>
  <si>
    <t>процент</t>
  </si>
  <si>
    <t xml:space="preserve">финансовое обеспечение деятельности  УМИ Администрации Заполярного района </t>
  </si>
  <si>
    <t xml:space="preserve">финансовое обеспечение деятельности УЖКХиС Администрации Заполярного района </t>
  </si>
  <si>
    <t xml:space="preserve">Организация проведения ежегодной диспансеризации муниципальных служащих органов местного самоуправления 
муниципального района "Заполярный район"
</t>
  </si>
  <si>
    <t xml:space="preserve">Доля муниципальных служащих, прошедших ежегодную диспансеризацию от общего количества муниципальных служащих.
</t>
  </si>
  <si>
    <t xml:space="preserve">Раздел 3.  Организация профессиональной переподготовки и получения дополнительного профессионального образования муниципальных служащих и работников, замещающие должности, не относящиеся к должностям муниципальной службы
</t>
  </si>
  <si>
    <t xml:space="preserve"> Углубление   и   закрепление   знаний, повышение эффективности профессиональной подготовки, переподготовки и повышения квалификации  муниципальных служащих и работников, замещающие должности, не относящиеся к должностям муниципальной службы
</t>
  </si>
  <si>
    <t xml:space="preserve">Доля муниципальных служащих, прошедших обучение по программам дополнительного профессионального образования, от общего количества муниципальных служащих
</t>
  </si>
  <si>
    <t>всего муниц. служащих 43 (с 01.01.2018)  Адм  25; УМИ 7; УФ 11</t>
  </si>
  <si>
    <t xml:space="preserve">Доля работников, замещающие должности, не относящиеся к должностям муниципальной службы, прошедших обучение по программам дополнительного профессионального образования, от общего количества работников, замещающие должности, не относящиеся к должностям муниципальной службы
</t>
  </si>
  <si>
    <t>не муниципалов всего 18 (УЖКХ - 4; АДМ-12; Уми - 1, УФ-1)</t>
  </si>
  <si>
    <t xml:space="preserve">Раздел 4.  Расходы на исполнение публичных обязательств </t>
  </si>
  <si>
    <t xml:space="preserve">обеспечение выплаты пенсии за выслугу лет лицам, замещавшим должности муниципальной службы и выборные должности местного самоуправления;
</t>
  </si>
  <si>
    <t xml:space="preserve">Финансовое обеспечение выплаты пенсии за выслугу лет, лицам, замещавшим должности муниципальной службы и выборные должности местного самоуправления;
</t>
  </si>
  <si>
    <t>обеспечение выплаты граждан, которым присвоено звание</t>
  </si>
  <si>
    <t xml:space="preserve">Количество граждан, удостоенных звания "Почетный гражданин Заполярного района" (с нарастающим итогом)
</t>
  </si>
  <si>
    <t>граждан</t>
  </si>
  <si>
    <t>уточнить у Ольги</t>
  </si>
  <si>
    <t> повышение эффективности учета муниципального имущества составляющего казну Заполярного района и закрепленного за муниципальными предприятиями и учреждениями Заполярного района;</t>
  </si>
  <si>
    <t> содержание имущества муниципального района</t>
  </si>
  <si>
    <t>Управление муниципальной собственностью</t>
  </si>
  <si>
    <t>количество изготовленных технических планов на объекты недвижимого имущества</t>
  </si>
  <si>
    <t>планы</t>
  </si>
  <si>
    <t>тех план на лодку</t>
  </si>
  <si>
    <t>количество муниципальных квартир, по которым осуществляется уплата взносов на капитальный ремонт</t>
  </si>
  <si>
    <t>квартир</t>
  </si>
  <si>
    <t>2.3.</t>
  </si>
  <si>
    <t>Эксплуатационные и иные расходы по содержанию объектов до передачи в собственность муниципальных образований поселений, в оперативное управление муниципальных и казенных учреждений, в хозяйственное ведение муниципальных унитарных предприятий</t>
  </si>
  <si>
    <t>Количество объектов, по которым осуществляются эксплуатационные и иные расходы по содержанию их до передачи в собственность МО, в оперативное управление учреждений и предприятий</t>
  </si>
  <si>
    <t>объектов</t>
  </si>
  <si>
    <t>на 2017 год - Школа Тельвиска, Н.Пеша, Красное, ж.д. в д. Куя, ж.д. Ома, ж.д. Бугрино   (на 2018 год Амдерма спортзал, 12-кв. ж.д. Тельвиска, школа Тельвиска, 2-4-кв. ж.д. Индига, 12-кв. ж.д. Харута, 12-кв. ж.д. Каратайка)</t>
  </si>
  <si>
    <t xml:space="preserve">Эксплуатационные и иные расходы по содержанию объектов до передачи в собственность муниципальных образований поселений, </t>
  </si>
  <si>
    <t> организационное, транспортное, хозяйственное и материально-техническое обеспечение деятельности органов местного самоуправления Заполярного района и муниципальных учреждений Заполярного района</t>
  </si>
  <si>
    <t xml:space="preserve">финансовое обеспечение деятельности
 МКУ ЗР «Северное»;
</t>
  </si>
  <si>
    <t xml:space="preserve">    Финансовое обеспечение деятельности МКУ ЗР «Северное» </t>
  </si>
  <si>
    <t> организация комплекса мероприятий по материально-техническому и транспортному обеспечению Администрации Заполярного района</t>
  </si>
  <si>
    <t>количество оказанных транспортных услуг Администрации Заполярного района в населенные пункты Заполярного района</t>
  </si>
  <si>
    <t>выездов</t>
  </si>
  <si>
    <t> формирование открытого информационного пространства на территории Заполярного района, обеспечивающего реализацию права граждан на доступ к информации о деятельности органов местного самоуправления, а также гласность и открытость деятельности органов местного самоуправления в вопросах общественно значимой информации, имеющейся в распоряжении органов местного самоуправления (с учетом ограничений, установленных законом Российской Федерации);</t>
  </si>
  <si>
    <r>
      <t>-</t>
    </r>
    <r>
      <rPr>
        <sz val="11"/>
        <color theme="1"/>
        <rFont val="Times New Roman"/>
        <family val="1"/>
        <charset val="204"/>
      </rPr>
      <t>                  Обеспечение доступа граждан и организаций к нормативным правовым актам органов местного самоуправления и другой официальной информации;</t>
    </r>
  </si>
  <si>
    <t>  количество правовых актов опубликованных в  периодическом печатном издании муниципального района «Заполярный район» «Официальный бюллетень Заполярного района»;</t>
  </si>
  <si>
    <t>единиц</t>
  </si>
  <si>
    <t>количество выпусков периодического печатного издания муниципального района «Заполярный район» «Официальный бюллетень Заполярного района»;</t>
  </si>
  <si>
    <t>информирование населения и организаций о деятельности и решениях органов местного самоуправления посредством опубликования материалов в средствах массовой информации</t>
  </si>
  <si>
    <t xml:space="preserve"> количество выпусков общественно-политической газеты Заполярного района «Заполярный вестник+»;</t>
  </si>
  <si>
    <t>количество информационных сообщений (объявлений), размещенных в средствах массовой информации</t>
  </si>
  <si>
    <t>количество опубликованной информации в общественно-политической газете «Няръяна вындер»;</t>
  </si>
  <si>
    <t>Возможность размещения инофрмации о деятельности органов местного самоуправления на сайте Администрации Заполярного района</t>
  </si>
  <si>
    <t>да/нет</t>
  </si>
  <si>
    <t>да</t>
  </si>
  <si>
    <t>количество новостных выпусков на сайте Администрации Заполярного района</t>
  </si>
  <si>
    <t> повышение эффективности организационной работы при проведении официальных мероприятий;</t>
  </si>
  <si>
    <t>Организационное и материально-техническое обеспечение официальных мероприятий, проводимых органами местного самоуправления муниципального района «Заполярный район», городского и сельских поселений</t>
  </si>
  <si>
    <t>количество проведенных официальных мероприятий</t>
  </si>
  <si>
    <t>ед.</t>
  </si>
  <si>
    <t>Организация и проведение мероприятий в рамках прзднования Дня Заполярного района и Дня герба и флага Заполярного района</t>
  </si>
  <si>
    <t>Приобретение часов</t>
  </si>
  <si>
    <t>количество приобретенных часов</t>
  </si>
  <si>
    <t>штук</t>
  </si>
  <si>
    <t>Разработка дизайн-макета, проектирование с привязкой к местности, изготовление и установка въездных знаков Заполярного района</t>
  </si>
  <si>
    <t>количество установленных знаков</t>
  </si>
  <si>
    <t xml:space="preserve">     Обеспечение деятельности органов местного самоуправления</t>
  </si>
  <si>
    <t>Подпрограмма 6 "Возмещение части затрат на содержание органов местного самоуправления поселений Ненецкого автономного округа"</t>
  </si>
  <si>
    <t>Раздел 1. Расходы на оплату коммунальных услуг и  приобретение твердого топлива</t>
  </si>
  <si>
    <t>обеспечение деятельности органов местного самоуправления</t>
  </si>
  <si>
    <t>объем потребленной электрической энергии для целей содержания органов местного самоуправления поселений</t>
  </si>
  <si>
    <t>тыс. кВт. /ч</t>
  </si>
  <si>
    <t xml:space="preserve">объем приобретенного твердого топлива для целей содержания органов местного самоуправления поселений </t>
  </si>
  <si>
    <t>тонн</t>
  </si>
  <si>
    <t>обеспечение выплаты пенсий за выслугу лет лицам, замещавшим выборные должности и должности муниципальной службы</t>
  </si>
  <si>
    <t xml:space="preserve">Доля предоставленных гарантий пенсионного обеспечения лиц, замещавших муниципальные должности и должности муниципальных служащих в муниципальном районе "Заполярный район" от числа назначенных пенсий муниципальных пенсий за выслугу лет
</t>
  </si>
  <si>
    <t xml:space="preserve">     Подготовка и проведение выборов представительных органов местного самоуправления и глав муниципальных образований</t>
  </si>
  <si>
    <t>финансовое обеспечение организации и проведения выборов депутатов законодательных (представительных) органов местного самоуправления и глав местных администраций</t>
  </si>
  <si>
    <t>%</t>
  </si>
  <si>
    <t>Приложение 3 к  муниципальной программе "Развитие административной системы местного самоуправления муниципального района "Заполярный район" на 2017 - 2022 годы"</t>
  </si>
  <si>
    <t>Планируемое значение индикатора (показателя) по годам реализации Программы</t>
  </si>
  <si>
    <t>Подпрограмма 1 «Реализация функций муниципального управления»</t>
  </si>
  <si>
    <t>Задача 1</t>
  </si>
  <si>
    <t>Обеспечение деятельности органов местного самоуправления муниципального района</t>
  </si>
  <si>
    <t>- финансовое обеспечение деятельности Администрации Заполярного района</t>
  </si>
  <si>
    <t>- финансовое обеспечение деятельности УМИ Администрации Заполярного района</t>
  </si>
  <si>
    <t>- финансовое обеспечение деятельности УЖКХиС Администрации Заполярного района</t>
  </si>
  <si>
    <t>Задача 2</t>
  </si>
  <si>
    <t>Организация проведения ежегодной диспансеризации муниципальных служащих органов местного самоуправления муниципального района «Заполярный район»</t>
  </si>
  <si>
    <t>- доля муниципальных служащих, прошедших ежегодную диспансеризацию от общего количества муниципальных служащих</t>
  </si>
  <si>
    <t>Задача 3</t>
  </si>
  <si>
    <t>- доля муниципальных служащих, прошедших обучение по программам дополнительного профессионального образования, от общего количества муниципальных служащих</t>
  </si>
  <si>
    <t>- доля работников, замещающие должности, не относящиеся к должностям муниципальной службы, прошедших обучение по программам дополнительного профессионального образования, от общего количества работников, замещающие должности, не относящиеся к должностям муниципальной службы</t>
  </si>
  <si>
    <t>Обеспечение выплаты пенсии за выслугу лет лицам, замешавшим должности муниципальной службы и выборные должности местного самоуправления</t>
  </si>
  <si>
    <t>- финансовое обеспечение выплаты пенсии за выслугу лет лицам, замещавшим должности муниципальной службы и выборные должности местного самоуправления</t>
  </si>
  <si>
    <t>Обеспечение выплаты денежных средств гражданам, которым присвоено звание «Почетный гражданин Заполярного района»</t>
  </si>
  <si>
    <t xml:space="preserve">- количество граждан, удостоенных звания «Почетный гражданин Заполярного района» (с нарастающим итогом) </t>
  </si>
  <si>
    <t>гражданин</t>
  </si>
  <si>
    <t>Обеспечение дополнительных мер социальной поддержки граждан, уволенных в запас после прохождения военной службы по призыву в Вооруженных Силах Российской Федерации</t>
  </si>
  <si>
    <t>- финансовое обеспечение дополнительных мер социальной поддержки граждан, уволенных в запас после прохождения военной службы по призыву в Вооруженных Силах Российской Федерации</t>
  </si>
  <si>
    <t>Подпрограмма 2 «Управление муниципальным имуществом»</t>
  </si>
  <si>
    <t xml:space="preserve">Содержание муниципального имущества </t>
  </si>
  <si>
    <t>- количество изготовленных технических планов на объекты недвижимого имущества</t>
  </si>
  <si>
    <t>Ед.</t>
  </si>
  <si>
    <t>- количество изготовленных межевых планов</t>
  </si>
  <si>
    <t>- количество отчетов оценки рыночной стоимости объектов, подлежащих приватизации, и оценки стоимости арендной платы за пользование имуществом</t>
  </si>
  <si>
    <t>- количество муниципальных квартир, по которым осуществляется уплата взносов на капитальный ремонт</t>
  </si>
  <si>
    <t>- количество объектов, по которым осуществляются эксплуатационные и иные расходы по содержанию их до передачи в собственность МО, в оперативное управление учреждений и предприятий</t>
  </si>
  <si>
    <t>Объект</t>
  </si>
  <si>
    <t>- количество объектов муниципальной собственности, по которым в текущем финансовом году был проведен капитальный (текущий) ремонт</t>
  </si>
  <si>
    <t>объект</t>
  </si>
  <si>
    <t>- количество приобретенных объектов недвижимости для нужд муниципальных образований</t>
  </si>
  <si>
    <t>Подпрограмма 3 «Материально-техническое и транспортное обеспечение деятельности органов местного самоуправления «Заполярного района»</t>
  </si>
  <si>
    <t>Финансовое обеспечение деятельности МКУ ЗР «Северное»</t>
  </si>
  <si>
    <t xml:space="preserve">- финансовое обеспечение деятельности МКУ ЗР «Северное» </t>
  </si>
  <si>
    <t>Организация комплекса мероприятий по материально-техническому и транспортному обеспечению органов местного самоуправления Заполярного района</t>
  </si>
  <si>
    <t>Подпрограмма 4 «Обеспечение информационной открытости органов местного самоуправления Заполярного района»</t>
  </si>
  <si>
    <t>Обеспечение доступа граждан и организаций к нормативным правовым актам органов местного самоуправления и другой официальной информации</t>
  </si>
  <si>
    <t>- количество правовых актов, опубликованных в периодическом печатном издании муниципального района «Заполярный район» «Официальный бюллетень Заполярного района»</t>
  </si>
  <si>
    <t>Информирование населения и организаций о деятельности и решениях органов местного самоуправления посредством опубликования материалов в средствах массовой информации</t>
  </si>
  <si>
    <t>- количество выпусков периодического печатного издания муниципального района «Заполярный район» «Официальный бюллетень Заполярного района»</t>
  </si>
  <si>
    <t>- количество выпусков общественно-политической газеты Заполярного района «Заполярный вестник+»</t>
  </si>
  <si>
    <t>- количество опубликованной информации в общественно-политической газете «Няръяна вындер»</t>
  </si>
  <si>
    <t>Кв. см</t>
  </si>
  <si>
    <t>- количество информационных сообщений / объявлений на радиостанции</t>
  </si>
  <si>
    <t>Шт.</t>
  </si>
  <si>
    <t>- возможность размещения информации о деятельности органов самоуправления на сайте Заполярного района</t>
  </si>
  <si>
    <t>Да/нет</t>
  </si>
  <si>
    <t>Подпрограмма 5: «Организация и проведение официальных мероприятий муниципального района «Заполярный район»</t>
  </si>
  <si>
    <t>Организационное и материально- техническое обеспечение официальных мероприятий, проводимых органами местного самоуправления муниципального района «Заполярный район», городского и сельских поселений</t>
  </si>
  <si>
    <t>- количество проведенных официальных мероприятий</t>
  </si>
  <si>
    <t>- количество награжденных (поощренных)</t>
  </si>
  <si>
    <t>Чел.</t>
  </si>
  <si>
    <t xml:space="preserve">- количество приобретенных часов </t>
  </si>
  <si>
    <t>- количество изготовленных и установленных въездных знаков Заполярного района</t>
  </si>
  <si>
    <t>Подпрограмма 6 «Возмещение части затрат органов местного самоуправления поселений Ненецкого автономного округа»</t>
  </si>
  <si>
    <t>Обеспечение деятельности органов местного самоуправления поселений</t>
  </si>
  <si>
    <t>- объем потребленной электрической энергии для целей содержания органов местного самоуправления поселений</t>
  </si>
  <si>
    <t>Тыс. кВт /ч</t>
  </si>
  <si>
    <t>- объем потребленной тепловой энергии для целей содержания органов местного самоуправления поселений</t>
  </si>
  <si>
    <t>Гкал</t>
  </si>
  <si>
    <t>- объем приобретенного твердого топлива (иных коммунальных услуг) для целей содержания органов местного самоуправления поселений:</t>
  </si>
  <si>
    <t>уголь</t>
  </si>
  <si>
    <t>Тонн</t>
  </si>
  <si>
    <t>дрова</t>
  </si>
  <si>
    <t>Куб. м</t>
  </si>
  <si>
    <t>холодная вода</t>
  </si>
  <si>
    <t>Подготовка и проведение выборов представительных органов местного самоуправления и глав муниципальных образований</t>
  </si>
  <si>
    <t>- финансовое обеспечение организации и проведения выборов депутатов законодательных (представительных) органов местного самоуправления и глав местных администрации</t>
  </si>
  <si>
    <t>Перечень целевых показателей муниципальной программы "Развитие административной системы местного самоуправления муниципального района "Заполярный район" на 2017 - 2022 годы"</t>
  </si>
  <si>
    <t>Наименование индикатора (показателя)</t>
  </si>
  <si>
    <t>Задачи, направленные на достижение цели</t>
  </si>
  <si>
    <t>2.1.6.</t>
  </si>
  <si>
    <t>Подраздел 1. Капитальный и текущий ремонт нежилых зданий, сооружений, объектов инженерной инфраструктуры, находящихся в муниципальной собственности поселений</t>
  </si>
  <si>
    <t>Подраздел 2. Приобретение муниципального имущества</t>
  </si>
  <si>
    <t>4 объекта (здание основной, начальной школ в Волоковой, столярная мастерская в д. Волоковая и моторная лодка "Вельбот -63Р) ( служ. Апрель 18г.)</t>
  </si>
  <si>
    <t>на 19 и 20 г - по 3 объекта (здание основной, начальной школ в Волоковой, столярная мастерская в д. Волоковая)</t>
  </si>
  <si>
    <t>18г. - всего 4 плана ( модульная блочная котельная  и баня в п. Хорей-Вер, строительство гаража и под теплотрассу в с. Н. Пеша)</t>
  </si>
  <si>
    <t>18 г (знак- граница НАО и респ. Коми)</t>
  </si>
  <si>
    <t>19г (знак- граница Н-Мара и п. Искателей)</t>
  </si>
  <si>
    <t>2019 г. - спорт. сооружение в Амдерме</t>
  </si>
  <si>
    <t>Раздел 3.  Организация профессиональной переподготовки и получения дополнительного профессионального образования муниципальных служащих и работников, замещающих должности, не относящиеся к должностям муниципальной службы</t>
  </si>
  <si>
    <t>Базовое значение индикатора в год, предшествующий началу реализации муниципальной программы</t>
  </si>
  <si>
    <t>Раздел 1. Расходы на оплату коммунальных услуг и приобретение твердым топливом</t>
  </si>
  <si>
    <t>5.5.1.</t>
  </si>
  <si>
    <t>5.5.2.</t>
  </si>
  <si>
    <t xml:space="preserve"> - количество оказанных транспортных услуг органам местного самоуправления муниципального района в населенные пункты Заполярного района
</t>
  </si>
  <si>
    <t>Углубление и закрепление знаний, повышение профессиональной переподготовки и повышение квалификации муниципальных служащих и работников, замещающие должности, не относящиеся к должностям муниципальной службы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</si>
</sst>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_р_._-;\-* #,##0.00_р_._-;_-* &quot;-&quot;??_р_._-;_-@_-"/>
    <numFmt numFmtId="164" formatCode="_-* #,##0.0_р_._-;\-* #,##0.0_р_._-;_-* &quot;-&quot;?_р_._-;_-@_-"/>
    <numFmt numFmtId="165" formatCode="0_ ;\-0\ "/>
    <numFmt numFmtId="166" formatCode="#,##0.0"/>
    <numFmt numFmtId="167" formatCode="0.0"/>
  </numFmts>
  <fonts count="2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48"/>
      <color rgb="FFFF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Symbol"/>
      <family val="1"/>
      <charset val="2"/>
    </font>
    <font>
      <b/>
      <sz val="9"/>
      <color indexed="81"/>
      <name val="Tahoma"/>
      <family val="2"/>
      <charset val="204"/>
    </font>
    <font>
      <sz val="9"/>
      <color indexed="81"/>
      <name val="Tahoma"/>
      <family val="2"/>
      <charset val="204"/>
    </font>
    <font>
      <sz val="11"/>
      <color rgb="FF000000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rgb="FFCCECFF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9">
    <xf numFmtId="0" fontId="0" fillId="0" borderId="0"/>
    <xf numFmtId="0" fontId="4" fillId="0" borderId="0"/>
    <xf numFmtId="0" fontId="5" fillId="0" borderId="0"/>
    <xf numFmtId="0" fontId="6" fillId="0" borderId="0"/>
    <xf numFmtId="0" fontId="3" fillId="0" borderId="0"/>
    <xf numFmtId="0" fontId="2" fillId="0" borderId="0"/>
    <xf numFmtId="43" fontId="5" fillId="0" borderId="0" applyFont="0" applyFill="0" applyBorder="0" applyAlignment="0" applyProtection="0"/>
    <xf numFmtId="0" fontId="1" fillId="0" borderId="0"/>
    <xf numFmtId="43" fontId="5" fillId="0" borderId="0" applyFont="0" applyFill="0" applyBorder="0" applyAlignment="0" applyProtection="0"/>
  </cellStyleXfs>
  <cellXfs count="251">
    <xf numFmtId="0" fontId="0" fillId="0" borderId="0" xfId="0"/>
    <xf numFmtId="0" fontId="10" fillId="0" borderId="1" xfId="3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vertical="center" wrapText="1"/>
    </xf>
    <xf numFmtId="164" fontId="11" fillId="2" borderId="1" xfId="0" applyNumberFormat="1" applyFont="1" applyFill="1" applyBorder="1" applyAlignment="1">
      <alignment horizontal="right" vertical="center" wrapText="1"/>
    </xf>
    <xf numFmtId="0" fontId="8" fillId="0" borderId="0" xfId="0" applyFont="1" applyAlignment="1">
      <alignment vertical="center"/>
    </xf>
    <xf numFmtId="0" fontId="11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166" fontId="12" fillId="0" borderId="1" xfId="0" applyNumberFormat="1" applyFont="1" applyBorder="1" applyAlignment="1">
      <alignment horizontal="left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vertical="center" wrapText="1"/>
    </xf>
    <xf numFmtId="0" fontId="13" fillId="0" borderId="0" xfId="0" applyFont="1" applyFill="1" applyAlignment="1">
      <alignment vertical="center"/>
    </xf>
    <xf numFmtId="0" fontId="13" fillId="0" borderId="0" xfId="0" applyFont="1" applyFill="1" applyAlignment="1">
      <alignment horizontal="center" vertical="center" wrapText="1"/>
    </xf>
    <xf numFmtId="0" fontId="13" fillId="0" borderId="0" xfId="0" applyFont="1" applyFill="1" applyAlignment="1">
      <alignment horizontal="center" vertical="center"/>
    </xf>
    <xf numFmtId="0" fontId="14" fillId="0" borderId="0" xfId="0" applyFont="1" applyFill="1" applyAlignment="1">
      <alignment horizontal="center" vertical="center" wrapText="1"/>
    </xf>
    <xf numFmtId="0" fontId="17" fillId="0" borderId="0" xfId="0" applyFont="1" applyFill="1" applyAlignment="1">
      <alignment vertical="center"/>
    </xf>
    <xf numFmtId="0" fontId="17" fillId="0" borderId="0" xfId="0" applyFont="1" applyFill="1" applyAlignment="1">
      <alignment horizontal="center" vertical="center"/>
    </xf>
    <xf numFmtId="0" fontId="16" fillId="0" borderId="0" xfId="0" applyFont="1" applyFill="1" applyAlignment="1">
      <alignment horizontal="center" vertical="center" wrapText="1"/>
    </xf>
    <xf numFmtId="0" fontId="7" fillId="0" borderId="0" xfId="0" applyFont="1" applyAlignment="1">
      <alignment vertical="center"/>
    </xf>
    <xf numFmtId="164" fontId="9" fillId="2" borderId="1" xfId="0" applyNumberFormat="1" applyFont="1" applyFill="1" applyBorder="1" applyAlignment="1">
      <alignment horizontal="right" vertical="center" wrapText="1"/>
    </xf>
    <xf numFmtId="0" fontId="18" fillId="0" borderId="0" xfId="0" applyFont="1" applyFill="1" applyAlignment="1">
      <alignment vertical="center"/>
    </xf>
    <xf numFmtId="164" fontId="9" fillId="0" borderId="1" xfId="0" applyNumberFormat="1" applyFont="1" applyFill="1" applyBorder="1" applyAlignment="1">
      <alignment horizontal="right" vertical="center" wrapText="1"/>
    </xf>
    <xf numFmtId="164" fontId="11" fillId="0" borderId="1" xfId="0" applyNumberFormat="1" applyFont="1" applyFill="1" applyBorder="1" applyAlignment="1">
      <alignment horizontal="right" vertical="center" wrapText="1"/>
    </xf>
    <xf numFmtId="0" fontId="10" fillId="0" borderId="1" xfId="3" applyFont="1" applyFill="1" applyBorder="1" applyAlignment="1">
      <alignment horizontal="right" vertical="center" wrapText="1"/>
    </xf>
    <xf numFmtId="166" fontId="12" fillId="0" borderId="1" xfId="0" applyNumberFormat="1" applyFont="1" applyFill="1" applyBorder="1" applyAlignment="1">
      <alignment horizontal="left" vertical="center" wrapText="1"/>
    </xf>
    <xf numFmtId="0" fontId="8" fillId="0" borderId="0" xfId="0" applyFont="1" applyAlignment="1">
      <alignment wrapText="1"/>
    </xf>
    <xf numFmtId="167" fontId="7" fillId="0" borderId="1" xfId="0" applyNumberFormat="1" applyFont="1" applyBorder="1" applyAlignment="1">
      <alignment vertical="center"/>
    </xf>
    <xf numFmtId="167" fontId="8" fillId="0" borderId="1" xfId="0" applyNumberFormat="1" applyFont="1" applyBorder="1" applyAlignment="1">
      <alignment vertical="center"/>
    </xf>
    <xf numFmtId="164" fontId="8" fillId="0" borderId="1" xfId="1" applyNumberFormat="1" applyFont="1" applyFill="1" applyBorder="1" applyAlignment="1">
      <alignment horizontal="justify" vertical="top" wrapText="1"/>
    </xf>
    <xf numFmtId="0" fontId="8" fillId="0" borderId="1" xfId="1" applyNumberFormat="1" applyFont="1" applyFill="1" applyBorder="1" applyAlignment="1">
      <alignment horizontal="justify" vertical="top" wrapText="1"/>
    </xf>
    <xf numFmtId="0" fontId="13" fillId="0" borderId="0" xfId="0" applyFont="1" applyFill="1" applyAlignment="1">
      <alignment horizontal="justify" vertical="top" wrapText="1"/>
    </xf>
    <xf numFmtId="0" fontId="18" fillId="0" borderId="0" xfId="0" applyFont="1" applyFill="1" applyAlignment="1">
      <alignment horizontal="justify" vertical="top" wrapText="1"/>
    </xf>
    <xf numFmtId="0" fontId="17" fillId="0" borderId="0" xfId="0" applyFont="1" applyFill="1" applyAlignment="1">
      <alignment horizontal="justify" vertical="top" wrapText="1"/>
    </xf>
    <xf numFmtId="0" fontId="8" fillId="0" borderId="0" xfId="1" applyFont="1" applyFill="1" applyBorder="1" applyAlignment="1">
      <alignment horizontal="justify" vertical="top" wrapText="1"/>
    </xf>
    <xf numFmtId="0" fontId="8" fillId="0" borderId="0" xfId="0" applyFont="1" applyAlignment="1">
      <alignment horizontal="justify" vertical="top" wrapText="1"/>
    </xf>
    <xf numFmtId="0" fontId="7" fillId="0" borderId="0" xfId="1" applyFont="1" applyFill="1" applyBorder="1" applyAlignment="1">
      <alignment horizontal="justify" vertical="top" wrapText="1"/>
    </xf>
    <xf numFmtId="0" fontId="7" fillId="0" borderId="0" xfId="0" applyFont="1" applyAlignment="1">
      <alignment horizontal="justify" vertical="top" wrapText="1"/>
    </xf>
    <xf numFmtId="164" fontId="7" fillId="0" borderId="0" xfId="1" applyNumberFormat="1" applyFont="1" applyFill="1" applyBorder="1" applyAlignment="1">
      <alignment horizontal="justify" vertical="top" wrapText="1"/>
    </xf>
    <xf numFmtId="0" fontId="7" fillId="0" borderId="0" xfId="1" applyFont="1" applyFill="1" applyBorder="1" applyAlignment="1">
      <alignment horizontal="center" vertical="top" wrapText="1"/>
    </xf>
    <xf numFmtId="0" fontId="7" fillId="0" borderId="1" xfId="1" applyFont="1" applyFill="1" applyBorder="1" applyAlignment="1">
      <alignment horizontal="center" vertical="top" wrapText="1"/>
    </xf>
    <xf numFmtId="0" fontId="15" fillId="0" borderId="0" xfId="0" applyFont="1" applyFill="1" applyAlignment="1">
      <alignment horizontal="center" vertical="top" wrapText="1"/>
    </xf>
    <xf numFmtId="164" fontId="8" fillId="0" borderId="1" xfId="1" applyNumberFormat="1" applyFont="1" applyFill="1" applyBorder="1" applyAlignment="1">
      <alignment horizontal="left" vertical="top" wrapText="1"/>
    </xf>
    <xf numFmtId="0" fontId="8" fillId="0" borderId="1" xfId="1" applyNumberFormat="1" applyFont="1" applyFill="1" applyBorder="1" applyAlignment="1">
      <alignment horizontal="left" vertical="top" wrapText="1"/>
    </xf>
    <xf numFmtId="164" fontId="8" fillId="5" borderId="1" xfId="1" applyNumberFormat="1" applyFont="1" applyFill="1" applyBorder="1" applyAlignment="1">
      <alignment horizontal="left" vertical="top" wrapText="1"/>
    </xf>
    <xf numFmtId="164" fontId="8" fillId="5" borderId="1" xfId="1" applyNumberFormat="1" applyFont="1" applyFill="1" applyBorder="1" applyAlignment="1">
      <alignment horizontal="justify" vertical="top" wrapText="1"/>
    </xf>
    <xf numFmtId="165" fontId="9" fillId="0" borderId="1" xfId="1" applyNumberFormat="1" applyFont="1" applyFill="1" applyBorder="1" applyAlignment="1">
      <alignment horizontal="center" vertical="top" wrapText="1"/>
    </xf>
    <xf numFmtId="0" fontId="14" fillId="0" borderId="1" xfId="3" applyFont="1" applyFill="1" applyBorder="1" applyAlignment="1">
      <alignment horizontal="left" vertical="center" wrapText="1"/>
    </xf>
    <xf numFmtId="0" fontId="16" fillId="0" borderId="1" xfId="3" applyFont="1" applyFill="1" applyBorder="1" applyAlignment="1">
      <alignment horizontal="left" vertical="center" wrapText="1"/>
    </xf>
    <xf numFmtId="0" fontId="15" fillId="0" borderId="0" xfId="0" applyFont="1" applyFill="1" applyAlignment="1">
      <alignment vertical="center" wrapText="1"/>
    </xf>
    <xf numFmtId="0" fontId="8" fillId="0" borderId="0" xfId="5" applyFont="1" applyFill="1" applyBorder="1" applyAlignment="1">
      <alignment vertical="center"/>
    </xf>
    <xf numFmtId="0" fontId="7" fillId="0" borderId="0" xfId="5" applyFont="1" applyFill="1" applyBorder="1" applyAlignment="1">
      <alignment vertical="center"/>
    </xf>
    <xf numFmtId="164" fontId="7" fillId="0" borderId="0" xfId="5" applyNumberFormat="1" applyFont="1" applyFill="1" applyBorder="1" applyAlignment="1">
      <alignment vertical="center"/>
    </xf>
    <xf numFmtId="0" fontId="8" fillId="0" borderId="1" xfId="5" applyFont="1" applyFill="1" applyBorder="1" applyAlignment="1">
      <alignment horizontal="center" vertical="center" wrapText="1"/>
    </xf>
    <xf numFmtId="0" fontId="8" fillId="0" borderId="0" xfId="5" applyFont="1" applyFill="1" applyBorder="1" applyAlignment="1">
      <alignment vertical="center" wrapText="1"/>
    </xf>
    <xf numFmtId="0" fontId="7" fillId="0" borderId="1" xfId="5" applyFont="1" applyFill="1" applyBorder="1" applyAlignment="1">
      <alignment horizontal="center" vertical="center" wrapText="1"/>
    </xf>
    <xf numFmtId="0" fontId="7" fillId="0" borderId="0" xfId="5" applyFont="1" applyFill="1" applyBorder="1" applyAlignment="1">
      <alignment vertical="center" wrapText="1"/>
    </xf>
    <xf numFmtId="0" fontId="7" fillId="3" borderId="1" xfId="5" applyFont="1" applyFill="1" applyBorder="1" applyAlignment="1">
      <alignment horizontal="center" vertical="center" wrapText="1"/>
    </xf>
    <xf numFmtId="164" fontId="7" fillId="3" borderId="1" xfId="5" applyNumberFormat="1" applyFont="1" applyFill="1" applyBorder="1" applyAlignment="1">
      <alignment horizontal="right" vertical="center" wrapText="1"/>
    </xf>
    <xf numFmtId="0" fontId="7" fillId="4" borderId="1" xfId="5" applyFont="1" applyFill="1" applyBorder="1" applyAlignment="1">
      <alignment horizontal="center" vertical="center" wrapText="1"/>
    </xf>
    <xf numFmtId="164" fontId="7" fillId="4" borderId="1" xfId="5" applyNumberFormat="1" applyFont="1" applyFill="1" applyBorder="1" applyAlignment="1">
      <alignment horizontal="right" vertical="center" wrapText="1"/>
    </xf>
    <xf numFmtId="0" fontId="7" fillId="5" borderId="1" xfId="5" applyFont="1" applyFill="1" applyBorder="1" applyAlignment="1">
      <alignment horizontal="center" vertical="center" wrapText="1"/>
    </xf>
    <xf numFmtId="164" fontId="7" fillId="5" borderId="1" xfId="5" applyNumberFormat="1" applyFont="1" applyFill="1" applyBorder="1" applyAlignment="1">
      <alignment horizontal="right" vertical="center" wrapText="1"/>
    </xf>
    <xf numFmtId="0" fontId="8" fillId="0" borderId="1" xfId="5" applyFont="1" applyFill="1" applyBorder="1" applyAlignment="1">
      <alignment horizontal="center" vertical="center"/>
    </xf>
    <xf numFmtId="164" fontId="7" fillId="0" borderId="1" xfId="5" applyNumberFormat="1" applyFont="1" applyFill="1" applyBorder="1" applyAlignment="1">
      <alignment horizontal="right" vertical="center" wrapText="1"/>
    </xf>
    <xf numFmtId="164" fontId="8" fillId="0" borderId="1" xfId="5" applyNumberFormat="1" applyFont="1" applyFill="1" applyBorder="1" applyAlignment="1">
      <alignment horizontal="right" vertical="center" wrapText="1"/>
    </xf>
    <xf numFmtId="164" fontId="8" fillId="2" borderId="1" xfId="5" applyNumberFormat="1" applyFont="1" applyFill="1" applyBorder="1" applyAlignment="1">
      <alignment horizontal="right" vertical="center" wrapText="1"/>
    </xf>
    <xf numFmtId="164" fontId="8" fillId="0" borderId="2" xfId="5" applyNumberFormat="1" applyFont="1" applyFill="1" applyBorder="1" applyAlignment="1">
      <alignment horizontal="right" vertical="center" wrapText="1"/>
    </xf>
    <xf numFmtId="164" fontId="7" fillId="0" borderId="2" xfId="5" applyNumberFormat="1" applyFont="1" applyFill="1" applyBorder="1" applyAlignment="1">
      <alignment horizontal="right" vertical="center" wrapText="1"/>
    </xf>
    <xf numFmtId="164" fontId="8" fillId="2" borderId="2" xfId="5" applyNumberFormat="1" applyFont="1" applyFill="1" applyBorder="1" applyAlignment="1">
      <alignment horizontal="right" vertical="center" wrapText="1"/>
    </xf>
    <xf numFmtId="0" fontId="8" fillId="0" borderId="1" xfId="5" applyFont="1" applyFill="1" applyBorder="1" applyAlignment="1">
      <alignment vertical="center" wrapText="1"/>
    </xf>
    <xf numFmtId="167" fontId="8" fillId="0" borderId="1" xfId="5" applyNumberFormat="1" applyFont="1" applyFill="1" applyBorder="1" applyAlignment="1">
      <alignment vertical="center" wrapText="1"/>
    </xf>
    <xf numFmtId="0" fontId="8" fillId="2" borderId="1" xfId="5" applyFont="1" applyFill="1" applyBorder="1" applyAlignment="1">
      <alignment horizontal="center" vertical="center"/>
    </xf>
    <xf numFmtId="0" fontId="11" fillId="2" borderId="1" xfId="0" applyFont="1" applyFill="1" applyBorder="1" applyAlignment="1">
      <alignment vertical="center" wrapText="1"/>
    </xf>
    <xf numFmtId="0" fontId="10" fillId="2" borderId="1" xfId="0" applyFont="1" applyFill="1" applyBorder="1" applyAlignment="1">
      <alignment horizontal="center" vertical="center" wrapText="1"/>
    </xf>
    <xf numFmtId="164" fontId="7" fillId="2" borderId="1" xfId="5" applyNumberFormat="1" applyFont="1" applyFill="1" applyBorder="1" applyAlignment="1">
      <alignment horizontal="right" vertical="center" wrapText="1"/>
    </xf>
    <xf numFmtId="14" fontId="8" fillId="0" borderId="1" xfId="5" applyNumberFormat="1" applyFont="1" applyFill="1" applyBorder="1" applyAlignment="1">
      <alignment horizontal="center" vertical="center"/>
    </xf>
    <xf numFmtId="49" fontId="8" fillId="0" borderId="1" xfId="5" applyNumberFormat="1" applyFont="1" applyFill="1" applyBorder="1" applyAlignment="1">
      <alignment horizontal="center" vertical="center"/>
    </xf>
    <xf numFmtId="0" fontId="8" fillId="0" borderId="1" xfId="5" applyFont="1" applyFill="1" applyBorder="1" applyAlignment="1">
      <alignment vertical="center"/>
    </xf>
    <xf numFmtId="167" fontId="8" fillId="0" borderId="1" xfId="5" applyNumberFormat="1" applyFont="1" applyFill="1" applyBorder="1" applyAlignment="1">
      <alignment vertical="center"/>
    </xf>
    <xf numFmtId="0" fontId="15" fillId="0" borderId="16" xfId="0" applyFont="1" applyFill="1" applyBorder="1" applyAlignment="1">
      <alignment horizontal="justify" vertical="center" wrapText="1"/>
    </xf>
    <xf numFmtId="0" fontId="15" fillId="0" borderId="22" xfId="0" applyFont="1" applyFill="1" applyBorder="1" applyAlignment="1">
      <alignment horizontal="justify" vertical="center" wrapText="1"/>
    </xf>
    <xf numFmtId="0" fontId="15" fillId="0" borderId="17" xfId="0" applyFont="1" applyFill="1" applyBorder="1" applyAlignment="1">
      <alignment horizontal="justify" vertical="center" wrapText="1"/>
    </xf>
    <xf numFmtId="0" fontId="0" fillId="0" borderId="0" xfId="0" applyFill="1"/>
    <xf numFmtId="0" fontId="19" fillId="0" borderId="20" xfId="0" applyFont="1" applyFill="1" applyBorder="1" applyAlignment="1">
      <alignment horizontal="center" vertical="center" wrapText="1"/>
    </xf>
    <xf numFmtId="0" fontId="15" fillId="0" borderId="20" xfId="0" applyFont="1" applyFill="1" applyBorder="1" applyAlignment="1">
      <alignment horizontal="justify" vertical="center" wrapText="1"/>
    </xf>
    <xf numFmtId="0" fontId="15" fillId="0" borderId="20" xfId="0" applyFont="1" applyFill="1" applyBorder="1" applyAlignment="1">
      <alignment horizontal="center" vertical="center" wrapText="1"/>
    </xf>
    <xf numFmtId="0" fontId="15" fillId="0" borderId="23" xfId="0" applyFont="1" applyFill="1" applyBorder="1" applyAlignment="1">
      <alignment horizontal="center" vertical="center" wrapText="1"/>
    </xf>
    <xf numFmtId="0" fontId="15" fillId="0" borderId="19" xfId="0" applyFont="1" applyFill="1" applyBorder="1" applyAlignment="1">
      <alignment horizontal="center" vertical="center" wrapText="1"/>
    </xf>
    <xf numFmtId="0" fontId="15" fillId="0" borderId="23" xfId="0" applyFont="1" applyFill="1" applyBorder="1" applyAlignment="1">
      <alignment horizontal="justify" vertical="center" wrapText="1"/>
    </xf>
    <xf numFmtId="0" fontId="15" fillId="0" borderId="19" xfId="0" applyFont="1" applyFill="1" applyBorder="1" applyAlignment="1">
      <alignment horizontal="justify" vertical="center" wrapText="1"/>
    </xf>
    <xf numFmtId="0" fontId="14" fillId="0" borderId="20" xfId="0" applyFont="1" applyFill="1" applyBorder="1" applyAlignment="1">
      <alignment horizontal="center" vertical="center" wrapText="1"/>
    </xf>
    <xf numFmtId="0" fontId="23" fillId="0" borderId="20" xfId="0" applyFont="1" applyFill="1" applyBorder="1" applyAlignment="1">
      <alignment horizontal="center" vertical="center" wrapText="1"/>
    </xf>
    <xf numFmtId="0" fontId="15" fillId="0" borderId="20" xfId="0" applyFont="1" applyFill="1" applyBorder="1" applyAlignment="1">
      <alignment vertical="center" wrapText="1"/>
    </xf>
    <xf numFmtId="0" fontId="15" fillId="0" borderId="20" xfId="0" applyFont="1" applyFill="1" applyBorder="1" applyAlignment="1">
      <alignment horizontal="right" vertical="center" wrapText="1"/>
    </xf>
    <xf numFmtId="0" fontId="15" fillId="0" borderId="15" xfId="0" applyFont="1" applyFill="1" applyBorder="1" applyAlignment="1">
      <alignment horizontal="justify" vertical="center" wrapText="1"/>
    </xf>
    <xf numFmtId="43" fontId="15" fillId="0" borderId="20" xfId="6" applyFont="1" applyFill="1" applyBorder="1" applyAlignment="1">
      <alignment horizontal="center" vertical="center" wrapText="1"/>
    </xf>
    <xf numFmtId="0" fontId="13" fillId="0" borderId="0" xfId="2" applyFont="1" applyFill="1" applyAlignment="1">
      <alignment vertical="center"/>
    </xf>
    <xf numFmtId="0" fontId="18" fillId="0" borderId="0" xfId="2" applyFont="1" applyFill="1" applyAlignment="1">
      <alignment vertical="center"/>
    </xf>
    <xf numFmtId="0" fontId="13" fillId="0" borderId="0" xfId="2" applyFont="1" applyFill="1" applyAlignment="1">
      <alignment horizontal="center" vertical="center" wrapText="1"/>
    </xf>
    <xf numFmtId="0" fontId="17" fillId="0" borderId="0" xfId="2" applyFont="1" applyFill="1" applyAlignment="1">
      <alignment horizontal="center" vertical="center"/>
    </xf>
    <xf numFmtId="0" fontId="14" fillId="0" borderId="0" xfId="2" applyFont="1" applyFill="1" applyAlignment="1">
      <alignment horizontal="center" vertical="center" wrapText="1"/>
    </xf>
    <xf numFmtId="0" fontId="16" fillId="0" borderId="0" xfId="2" applyFont="1" applyFill="1" applyAlignment="1">
      <alignment horizontal="center" vertical="center" wrapText="1"/>
    </xf>
    <xf numFmtId="0" fontId="13" fillId="0" borderId="0" xfId="2" applyFont="1" applyFill="1" applyAlignment="1">
      <alignment horizontal="center" vertical="center"/>
    </xf>
    <xf numFmtId="0" fontId="19" fillId="0" borderId="1" xfId="7" applyFont="1" applyFill="1" applyBorder="1" applyAlignment="1">
      <alignment horizontal="center" vertical="center" wrapText="1"/>
    </xf>
    <xf numFmtId="0" fontId="19" fillId="0" borderId="1" xfId="7" applyFont="1" applyFill="1" applyBorder="1" applyAlignment="1">
      <alignment vertical="center"/>
    </xf>
    <xf numFmtId="0" fontId="19" fillId="0" borderId="1" xfId="7" applyFont="1" applyFill="1" applyBorder="1" applyAlignment="1">
      <alignment vertical="center" wrapText="1"/>
    </xf>
    <xf numFmtId="0" fontId="15" fillId="0" borderId="1" xfId="7" applyFont="1" applyFill="1" applyBorder="1" applyAlignment="1">
      <alignment vertical="center"/>
    </xf>
    <xf numFmtId="0" fontId="15" fillId="0" borderId="0" xfId="7" applyFont="1" applyFill="1" applyBorder="1" applyAlignment="1">
      <alignment vertical="center"/>
    </xf>
    <xf numFmtId="0" fontId="19" fillId="7" borderId="1" xfId="7" applyFont="1" applyFill="1" applyBorder="1" applyAlignment="1">
      <alignment horizontal="center" vertical="center" wrapText="1"/>
    </xf>
    <xf numFmtId="0" fontId="19" fillId="7" borderId="1" xfId="7" applyFont="1" applyFill="1" applyBorder="1" applyAlignment="1">
      <alignment vertical="center" wrapText="1"/>
    </xf>
    <xf numFmtId="0" fontId="19" fillId="0" borderId="0" xfId="7" applyFont="1" applyFill="1" applyBorder="1" applyAlignment="1">
      <alignment vertical="center" wrapText="1"/>
    </xf>
    <xf numFmtId="0" fontId="17" fillId="7" borderId="1" xfId="2" applyFont="1" applyFill="1" applyBorder="1" applyAlignment="1">
      <alignment vertical="center" wrapText="1"/>
    </xf>
    <xf numFmtId="164" fontId="19" fillId="0" borderId="1" xfId="7" applyNumberFormat="1" applyFont="1" applyFill="1" applyBorder="1" applyAlignment="1">
      <alignment vertical="center" wrapText="1"/>
    </xf>
    <xf numFmtId="164" fontId="7" fillId="5" borderId="1" xfId="7" applyNumberFormat="1" applyFont="1" applyFill="1" applyBorder="1" applyAlignment="1">
      <alignment horizontal="right" vertical="center" wrapText="1"/>
    </xf>
    <xf numFmtId="0" fontId="15" fillId="0" borderId="1" xfId="7" applyFont="1" applyFill="1" applyBorder="1" applyAlignment="1">
      <alignment horizontal="center" vertical="center"/>
    </xf>
    <xf numFmtId="0" fontId="13" fillId="0" borderId="1" xfId="2" applyFont="1" applyFill="1" applyBorder="1" applyAlignment="1">
      <alignment vertical="center" wrapText="1"/>
    </xf>
    <xf numFmtId="0" fontId="15" fillId="0" borderId="1" xfId="7" applyFont="1" applyFill="1" applyBorder="1" applyAlignment="1">
      <alignment vertical="center" wrapText="1"/>
    </xf>
    <xf numFmtId="167" fontId="15" fillId="0" borderId="1" xfId="7" applyNumberFormat="1" applyFont="1" applyFill="1" applyBorder="1" applyAlignment="1">
      <alignment vertical="center"/>
    </xf>
    <xf numFmtId="164" fontId="15" fillId="0" borderId="1" xfId="7" applyNumberFormat="1" applyFont="1" applyFill="1" applyBorder="1" applyAlignment="1">
      <alignment horizontal="right" vertical="center" wrapText="1"/>
    </xf>
    <xf numFmtId="164" fontId="8" fillId="0" borderId="1" xfId="7" applyNumberFormat="1" applyFont="1" applyFill="1" applyBorder="1" applyAlignment="1">
      <alignment horizontal="right" vertical="center" wrapText="1"/>
    </xf>
    <xf numFmtId="164" fontId="8" fillId="2" borderId="1" xfId="7" applyNumberFormat="1" applyFont="1" applyFill="1" applyBorder="1" applyAlignment="1">
      <alignment horizontal="right" vertical="center" wrapText="1"/>
    </xf>
    <xf numFmtId="0" fontId="15" fillId="0" borderId="6" xfId="7" applyFont="1" applyFill="1" applyBorder="1" applyAlignment="1">
      <alignment horizontal="center" vertical="center"/>
    </xf>
    <xf numFmtId="0" fontId="15" fillId="0" borderId="13" xfId="7" applyFont="1" applyFill="1" applyBorder="1" applyAlignment="1">
      <alignment horizontal="center" vertical="center"/>
    </xf>
    <xf numFmtId="0" fontId="15" fillId="0" borderId="2" xfId="7" applyFont="1" applyFill="1" applyBorder="1" applyAlignment="1">
      <alignment horizontal="center" vertical="center"/>
    </xf>
    <xf numFmtId="167" fontId="15" fillId="0" borderId="6" xfId="7" applyNumberFormat="1" applyFont="1" applyFill="1" applyBorder="1" applyAlignment="1">
      <alignment horizontal="center" vertical="center"/>
    </xf>
    <xf numFmtId="167" fontId="15" fillId="0" borderId="13" xfId="7" applyNumberFormat="1" applyFont="1" applyFill="1" applyBorder="1" applyAlignment="1">
      <alignment horizontal="center" vertical="center"/>
    </xf>
    <xf numFmtId="0" fontId="13" fillId="0" borderId="6" xfId="2" applyFont="1" applyFill="1" applyBorder="1" applyAlignment="1">
      <alignment vertical="center" wrapText="1"/>
    </xf>
    <xf numFmtId="167" fontId="15" fillId="0" borderId="2" xfId="7" applyNumberFormat="1" applyFont="1" applyFill="1" applyBorder="1" applyAlignment="1">
      <alignment horizontal="center" vertical="center"/>
    </xf>
    <xf numFmtId="0" fontId="13" fillId="0" borderId="2" xfId="2" applyFont="1" applyFill="1" applyBorder="1" applyAlignment="1">
      <alignment vertical="center" wrapText="1"/>
    </xf>
    <xf numFmtId="0" fontId="15" fillId="0" borderId="1" xfId="7" applyFont="1" applyFill="1" applyBorder="1" applyAlignment="1">
      <alignment horizontal="center" vertical="center" wrapText="1"/>
    </xf>
    <xf numFmtId="0" fontId="15" fillId="0" borderId="2" xfId="7" applyFont="1" applyFill="1" applyBorder="1" applyAlignment="1">
      <alignment horizontal="center" vertical="center" wrapText="1"/>
    </xf>
    <xf numFmtId="0" fontId="19" fillId="0" borderId="0" xfId="7" applyFont="1" applyFill="1" applyBorder="1" applyAlignment="1">
      <alignment vertical="center"/>
    </xf>
    <xf numFmtId="0" fontId="14" fillId="0" borderId="1" xfId="2" applyFont="1" applyFill="1" applyBorder="1" applyAlignment="1">
      <alignment vertical="center" wrapText="1"/>
    </xf>
    <xf numFmtId="0" fontId="19" fillId="4" borderId="1" xfId="7" applyFont="1" applyFill="1" applyBorder="1" applyAlignment="1">
      <alignment horizontal="center" vertical="center" wrapText="1"/>
    </xf>
    <xf numFmtId="0" fontId="19" fillId="4" borderId="1" xfId="7" applyFont="1" applyFill="1" applyBorder="1" applyAlignment="1">
      <alignment horizontal="left" vertical="center" wrapText="1"/>
    </xf>
    <xf numFmtId="0" fontId="5" fillId="0" borderId="0" xfId="2"/>
    <xf numFmtId="0" fontId="15" fillId="0" borderId="20" xfId="2" applyFont="1" applyBorder="1" applyAlignment="1">
      <alignment horizontal="justify" vertical="center" wrapText="1"/>
    </xf>
    <xf numFmtId="0" fontId="15" fillId="0" borderId="20" xfId="2" applyFont="1" applyBorder="1" applyAlignment="1">
      <alignment horizontal="center" vertical="center" wrapText="1"/>
    </xf>
    <xf numFmtId="0" fontId="15" fillId="0" borderId="25" xfId="2" applyFont="1" applyBorder="1" applyAlignment="1">
      <alignment horizontal="center" vertical="center" wrapText="1"/>
    </xf>
    <xf numFmtId="0" fontId="5" fillId="0" borderId="1" xfId="2" applyBorder="1"/>
    <xf numFmtId="0" fontId="15" fillId="0" borderId="1" xfId="7" applyFont="1" applyFill="1" applyBorder="1" applyAlignment="1">
      <alignment horizontal="left" vertical="center" wrapText="1"/>
    </xf>
    <xf numFmtId="0" fontId="19" fillId="7" borderId="1" xfId="7" applyFont="1" applyFill="1" applyBorder="1" applyAlignment="1">
      <alignment horizontal="left" vertical="center" wrapText="1"/>
    </xf>
    <xf numFmtId="0" fontId="15" fillId="0" borderId="1" xfId="2" applyFont="1" applyFill="1" applyBorder="1" applyAlignment="1">
      <alignment horizontal="left" vertical="center" wrapText="1"/>
    </xf>
    <xf numFmtId="0" fontId="15" fillId="0" borderId="1" xfId="2" applyFont="1" applyFill="1" applyBorder="1" applyAlignment="1">
      <alignment horizontal="center" vertical="center" wrapText="1"/>
    </xf>
    <xf numFmtId="0" fontId="15" fillId="0" borderId="1" xfId="2" applyFont="1" applyFill="1" applyBorder="1" applyAlignment="1">
      <alignment horizontal="justify" vertical="center"/>
    </xf>
    <xf numFmtId="0" fontId="19" fillId="7" borderId="2" xfId="7" applyFont="1" applyFill="1" applyBorder="1" applyAlignment="1">
      <alignment horizontal="center" vertical="center" wrapText="1"/>
    </xf>
    <xf numFmtId="0" fontId="15" fillId="0" borderId="0" xfId="7" applyFont="1" applyFill="1" applyBorder="1" applyAlignment="1">
      <alignment horizontal="center" vertical="center" wrapText="1"/>
    </xf>
    <xf numFmtId="0" fontId="15" fillId="0" borderId="0" xfId="7" applyFont="1" applyFill="1" applyBorder="1" applyAlignment="1">
      <alignment vertical="center" wrapText="1"/>
    </xf>
    <xf numFmtId="0" fontId="17" fillId="0" borderId="1" xfId="2" applyFont="1" applyFill="1" applyBorder="1" applyAlignment="1">
      <alignment vertical="center" wrapText="1"/>
    </xf>
    <xf numFmtId="167" fontId="15" fillId="0" borderId="20" xfId="0" applyNumberFormat="1" applyFont="1" applyFill="1" applyBorder="1" applyAlignment="1">
      <alignment horizontal="center" vertical="center" wrapText="1"/>
    </xf>
    <xf numFmtId="164" fontId="10" fillId="0" borderId="1" xfId="5" applyNumberFormat="1" applyFont="1" applyFill="1" applyBorder="1" applyAlignment="1">
      <alignment horizontal="right" vertical="center" wrapText="1"/>
    </xf>
    <xf numFmtId="1" fontId="15" fillId="0" borderId="20" xfId="0" applyNumberFormat="1" applyFont="1" applyFill="1" applyBorder="1" applyAlignment="1">
      <alignment horizontal="center" vertical="center" wrapText="1"/>
    </xf>
    <xf numFmtId="49" fontId="15" fillId="0" borderId="16" xfId="0" applyNumberFormat="1" applyFont="1" applyFill="1" applyBorder="1" applyAlignment="1">
      <alignment vertical="center" wrapText="1"/>
    </xf>
    <xf numFmtId="49" fontId="15" fillId="0" borderId="17" xfId="0" applyNumberFormat="1" applyFont="1" applyFill="1" applyBorder="1" applyAlignment="1">
      <alignment vertical="center" wrapText="1"/>
    </xf>
    <xf numFmtId="0" fontId="15" fillId="0" borderId="0" xfId="0" applyFont="1" applyFill="1" applyAlignment="1">
      <alignment horizontal="center" vertical="center" wrapText="1"/>
    </xf>
    <xf numFmtId="0" fontId="19" fillId="0" borderId="16" xfId="0" applyFont="1" applyFill="1" applyBorder="1" applyAlignment="1">
      <alignment horizontal="center" vertical="center" wrapText="1"/>
    </xf>
    <xf numFmtId="0" fontId="19" fillId="0" borderId="17" xfId="0" applyFont="1" applyFill="1" applyBorder="1" applyAlignment="1">
      <alignment horizontal="center" vertical="center" wrapText="1"/>
    </xf>
    <xf numFmtId="0" fontId="15" fillId="0" borderId="16" xfId="0" applyFont="1" applyFill="1" applyBorder="1" applyAlignment="1">
      <alignment horizontal="center" vertical="center" wrapText="1"/>
    </xf>
    <xf numFmtId="0" fontId="15" fillId="0" borderId="17" xfId="0" applyFont="1" applyFill="1" applyBorder="1" applyAlignment="1">
      <alignment horizontal="center" vertical="center" wrapText="1"/>
    </xf>
    <xf numFmtId="0" fontId="15" fillId="0" borderId="16" xfId="0" applyFont="1" applyFill="1" applyBorder="1" applyAlignment="1">
      <alignment horizontal="justify" vertical="center" wrapText="1"/>
    </xf>
    <xf numFmtId="0" fontId="15" fillId="0" borderId="22" xfId="0" applyFont="1" applyFill="1" applyBorder="1" applyAlignment="1">
      <alignment horizontal="justify" vertical="center" wrapText="1"/>
    </xf>
    <xf numFmtId="0" fontId="15" fillId="0" borderId="17" xfId="0" applyFont="1" applyFill="1" applyBorder="1" applyAlignment="1">
      <alignment horizontal="justify" vertical="center" wrapText="1"/>
    </xf>
    <xf numFmtId="0" fontId="15" fillId="0" borderId="22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wrapText="1"/>
    </xf>
    <xf numFmtId="0" fontId="19" fillId="0" borderId="24" xfId="0" applyFont="1" applyFill="1" applyBorder="1" applyAlignment="1">
      <alignment horizontal="center" vertical="center" wrapText="1"/>
    </xf>
    <xf numFmtId="0" fontId="19" fillId="0" borderId="21" xfId="0" applyFont="1" applyFill="1" applyBorder="1" applyAlignment="1">
      <alignment horizontal="center" vertical="center" wrapText="1"/>
    </xf>
    <xf numFmtId="0" fontId="19" fillId="0" borderId="18" xfId="0" applyFont="1" applyFill="1" applyBorder="1" applyAlignment="1">
      <alignment horizontal="center" vertical="center" wrapText="1"/>
    </xf>
    <xf numFmtId="0" fontId="19" fillId="0" borderId="24" xfId="0" applyFont="1" applyFill="1" applyBorder="1" applyAlignment="1">
      <alignment vertical="center" wrapText="1"/>
    </xf>
    <xf numFmtId="0" fontId="19" fillId="0" borderId="21" xfId="0" applyFont="1" applyFill="1" applyBorder="1" applyAlignment="1">
      <alignment vertical="center" wrapText="1"/>
    </xf>
    <xf numFmtId="0" fontId="19" fillId="0" borderId="18" xfId="0" applyFont="1" applyFill="1" applyBorder="1" applyAlignment="1">
      <alignment vertical="center" wrapText="1"/>
    </xf>
    <xf numFmtId="0" fontId="16" fillId="0" borderId="16" xfId="0" applyFont="1" applyFill="1" applyBorder="1" applyAlignment="1">
      <alignment horizontal="center" vertical="center" wrapText="1"/>
    </xf>
    <xf numFmtId="0" fontId="16" fillId="0" borderId="17" xfId="0" applyFont="1" applyFill="1" applyBorder="1" applyAlignment="1">
      <alignment horizontal="center" vertical="center" wrapText="1"/>
    </xf>
    <xf numFmtId="0" fontId="19" fillId="0" borderId="24" xfId="0" applyFont="1" applyFill="1" applyBorder="1" applyAlignment="1">
      <alignment horizontal="left" vertical="center" wrapText="1"/>
    </xf>
    <xf numFmtId="0" fontId="19" fillId="0" borderId="21" xfId="0" applyFont="1" applyFill="1" applyBorder="1" applyAlignment="1">
      <alignment horizontal="left" vertical="center" wrapText="1"/>
    </xf>
    <xf numFmtId="0" fontId="19" fillId="0" borderId="18" xfId="0" applyFont="1" applyFill="1" applyBorder="1" applyAlignment="1">
      <alignment horizontal="left" vertical="center" wrapText="1"/>
    </xf>
    <xf numFmtId="0" fontId="9" fillId="5" borderId="1" xfId="0" applyFont="1" applyFill="1" applyBorder="1" applyAlignment="1">
      <alignment vertical="center" wrapText="1"/>
    </xf>
    <xf numFmtId="0" fontId="15" fillId="0" borderId="0" xfId="0" applyFont="1" applyFill="1" applyAlignment="1">
      <alignment horizontal="justify" vertical="center" wrapText="1"/>
    </xf>
    <xf numFmtId="0" fontId="7" fillId="0" borderId="0" xfId="1" applyFont="1" applyFill="1" applyBorder="1" applyAlignment="1">
      <alignment horizontal="center" vertical="center" wrapText="1"/>
    </xf>
    <xf numFmtId="0" fontId="8" fillId="0" borderId="6" xfId="5" applyFont="1" applyFill="1" applyBorder="1" applyAlignment="1">
      <alignment horizontal="center" vertical="center" wrapText="1"/>
    </xf>
    <xf numFmtId="0" fontId="8" fillId="0" borderId="13" xfId="5" applyFont="1" applyFill="1" applyBorder="1" applyAlignment="1">
      <alignment horizontal="center" vertical="center" wrapText="1"/>
    </xf>
    <xf numFmtId="0" fontId="8" fillId="0" borderId="2" xfId="5" applyFont="1" applyFill="1" applyBorder="1" applyAlignment="1">
      <alignment horizontal="center" vertical="center" wrapText="1"/>
    </xf>
    <xf numFmtId="165" fontId="11" fillId="0" borderId="7" xfId="5" applyNumberFormat="1" applyFont="1" applyFill="1" applyBorder="1" applyAlignment="1">
      <alignment horizontal="center" vertical="center" wrapText="1"/>
    </xf>
    <xf numFmtId="165" fontId="11" fillId="0" borderId="8" xfId="5" applyNumberFormat="1" applyFont="1" applyFill="1" applyBorder="1" applyAlignment="1">
      <alignment horizontal="center" vertical="center" wrapText="1"/>
    </xf>
    <xf numFmtId="165" fontId="11" fillId="0" borderId="9" xfId="5" applyNumberFormat="1" applyFont="1" applyFill="1" applyBorder="1" applyAlignment="1">
      <alignment horizontal="center" vertical="center" wrapText="1"/>
    </xf>
    <xf numFmtId="165" fontId="11" fillId="0" borderId="10" xfId="5" applyNumberFormat="1" applyFont="1" applyFill="1" applyBorder="1" applyAlignment="1">
      <alignment horizontal="center" vertical="center" wrapText="1"/>
    </xf>
    <xf numFmtId="165" fontId="11" fillId="0" borderId="11" xfId="5" applyNumberFormat="1" applyFont="1" applyFill="1" applyBorder="1" applyAlignment="1">
      <alignment horizontal="center" vertical="center" wrapText="1"/>
    </xf>
    <xf numFmtId="165" fontId="11" fillId="0" borderId="12" xfId="5" applyNumberFormat="1" applyFont="1" applyFill="1" applyBorder="1" applyAlignment="1">
      <alignment horizontal="center" vertical="center" wrapText="1"/>
    </xf>
    <xf numFmtId="165" fontId="11" fillId="0" borderId="3" xfId="5" applyNumberFormat="1" applyFont="1" applyFill="1" applyBorder="1" applyAlignment="1">
      <alignment horizontal="center" vertical="center" wrapText="1"/>
    </xf>
    <xf numFmtId="165" fontId="11" fillId="0" borderId="4" xfId="5" applyNumberFormat="1" applyFont="1" applyFill="1" applyBorder="1" applyAlignment="1">
      <alignment horizontal="center" vertical="center" wrapText="1"/>
    </xf>
    <xf numFmtId="165" fontId="11" fillId="0" borderId="5" xfId="5" applyNumberFormat="1" applyFont="1" applyFill="1" applyBorder="1" applyAlignment="1">
      <alignment horizontal="center" vertical="center" wrapText="1"/>
    </xf>
    <xf numFmtId="0" fontId="7" fillId="0" borderId="6" xfId="5" applyFont="1" applyFill="1" applyBorder="1" applyAlignment="1">
      <alignment horizontal="center" vertical="center" wrapText="1"/>
    </xf>
    <xf numFmtId="0" fontId="7" fillId="0" borderId="2" xfId="5" applyFont="1" applyFill="1" applyBorder="1" applyAlignment="1">
      <alignment horizontal="center" vertical="center" wrapText="1"/>
    </xf>
    <xf numFmtId="164" fontId="11" fillId="0" borderId="3" xfId="5" applyNumberFormat="1" applyFont="1" applyFill="1" applyBorder="1" applyAlignment="1">
      <alignment horizontal="center" vertical="center" wrapText="1"/>
    </xf>
    <xf numFmtId="164" fontId="11" fillId="0" borderId="4" xfId="5" applyNumberFormat="1" applyFont="1" applyFill="1" applyBorder="1" applyAlignment="1">
      <alignment horizontal="center" vertical="center" wrapText="1"/>
    </xf>
    <xf numFmtId="164" fontId="11" fillId="0" borderId="5" xfId="5" applyNumberFormat="1" applyFont="1" applyFill="1" applyBorder="1" applyAlignment="1">
      <alignment horizontal="center" vertical="center" wrapText="1"/>
    </xf>
    <xf numFmtId="0" fontId="7" fillId="3" borderId="1" xfId="5" applyFont="1" applyFill="1" applyBorder="1" applyAlignment="1">
      <alignment horizontal="left" vertical="center" wrapText="1"/>
    </xf>
    <xf numFmtId="0" fontId="7" fillId="4" borderId="1" xfId="5" applyFont="1" applyFill="1" applyBorder="1" applyAlignment="1">
      <alignment horizontal="left" vertical="center" wrapText="1"/>
    </xf>
    <xf numFmtId="0" fontId="9" fillId="6" borderId="1" xfId="0" applyFont="1" applyFill="1" applyBorder="1" applyAlignment="1">
      <alignment vertical="center" wrapText="1"/>
    </xf>
    <xf numFmtId="0" fontId="8" fillId="0" borderId="6" xfId="5" applyFont="1" applyFill="1" applyBorder="1" applyAlignment="1">
      <alignment horizontal="center" vertical="center"/>
    </xf>
    <xf numFmtId="0" fontId="8" fillId="0" borderId="2" xfId="5" applyFont="1" applyFill="1" applyBorder="1" applyAlignment="1">
      <alignment horizontal="center" vertical="center"/>
    </xf>
    <xf numFmtId="0" fontId="11" fillId="0" borderId="6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left" vertical="center" wrapText="1"/>
    </xf>
    <xf numFmtId="0" fontId="9" fillId="0" borderId="4" xfId="0" applyFont="1" applyFill="1" applyBorder="1" applyAlignment="1">
      <alignment horizontal="left" vertical="center" wrapText="1"/>
    </xf>
    <xf numFmtId="0" fontId="9" fillId="0" borderId="5" xfId="0" applyFont="1" applyFill="1" applyBorder="1" applyAlignment="1">
      <alignment horizontal="left" vertical="center" wrapText="1"/>
    </xf>
    <xf numFmtId="0" fontId="9" fillId="2" borderId="3" xfId="0" applyFont="1" applyFill="1" applyBorder="1" applyAlignment="1">
      <alignment horizontal="left" vertical="center" wrapText="1"/>
    </xf>
    <xf numFmtId="0" fontId="9" fillId="2" borderId="4" xfId="0" applyFont="1" applyFill="1" applyBorder="1" applyAlignment="1">
      <alignment horizontal="left" vertical="center" wrapText="1"/>
    </xf>
    <xf numFmtId="0" fontId="9" fillId="2" borderId="5" xfId="0" applyFont="1" applyFill="1" applyBorder="1" applyAlignment="1">
      <alignment horizontal="left" vertical="center" wrapText="1"/>
    </xf>
    <xf numFmtId="0" fontId="10" fillId="0" borderId="6" xfId="3" applyFont="1" applyFill="1" applyBorder="1" applyAlignment="1">
      <alignment horizontal="center" vertical="center" wrapText="1"/>
    </xf>
    <xf numFmtId="0" fontId="10" fillId="0" borderId="13" xfId="3" applyFont="1" applyFill="1" applyBorder="1" applyAlignment="1">
      <alignment horizontal="center" vertical="center" wrapText="1"/>
    </xf>
    <xf numFmtId="0" fontId="10" fillId="0" borderId="2" xfId="3" applyFont="1" applyFill="1" applyBorder="1" applyAlignment="1">
      <alignment horizontal="center" vertical="center" wrapText="1"/>
    </xf>
    <xf numFmtId="0" fontId="15" fillId="0" borderId="0" xfId="0" applyFont="1" applyFill="1" applyAlignment="1">
      <alignment horizontal="center" vertical="top" wrapText="1"/>
    </xf>
    <xf numFmtId="0" fontId="7" fillId="5" borderId="6" xfId="1" applyNumberFormat="1" applyFont="1" applyFill="1" applyBorder="1" applyAlignment="1">
      <alignment horizontal="center" vertical="top" wrapText="1"/>
    </xf>
    <xf numFmtId="0" fontId="7" fillId="5" borderId="13" xfId="1" applyNumberFormat="1" applyFont="1" applyFill="1" applyBorder="1" applyAlignment="1">
      <alignment horizontal="center" vertical="top" wrapText="1"/>
    </xf>
    <xf numFmtId="0" fontId="7" fillId="5" borderId="2" xfId="1" applyNumberFormat="1" applyFont="1" applyFill="1" applyBorder="1" applyAlignment="1">
      <alignment horizontal="center" vertical="top" wrapText="1"/>
    </xf>
    <xf numFmtId="0" fontId="8" fillId="5" borderId="6" xfId="1" applyNumberFormat="1" applyFont="1" applyFill="1" applyBorder="1" applyAlignment="1">
      <alignment horizontal="center" vertical="top" wrapText="1"/>
    </xf>
    <xf numFmtId="0" fontId="8" fillId="5" borderId="13" xfId="1" applyNumberFormat="1" applyFont="1" applyFill="1" applyBorder="1" applyAlignment="1">
      <alignment horizontal="center" vertical="top" wrapText="1"/>
    </xf>
    <xf numFmtId="0" fontId="8" fillId="5" borderId="2" xfId="1" applyNumberFormat="1" applyFont="1" applyFill="1" applyBorder="1" applyAlignment="1">
      <alignment horizontal="center" vertical="top" wrapText="1"/>
    </xf>
    <xf numFmtId="0" fontId="7" fillId="0" borderId="0" xfId="1" applyFont="1" applyFill="1" applyBorder="1" applyAlignment="1">
      <alignment horizontal="center" vertical="top" wrapText="1"/>
    </xf>
    <xf numFmtId="165" fontId="9" fillId="0" borderId="6" xfId="1" applyNumberFormat="1" applyFont="1" applyFill="1" applyBorder="1" applyAlignment="1">
      <alignment horizontal="center" vertical="top" wrapText="1"/>
    </xf>
    <xf numFmtId="165" fontId="9" fillId="0" borderId="2" xfId="1" applyNumberFormat="1" applyFont="1" applyFill="1" applyBorder="1" applyAlignment="1">
      <alignment horizontal="center" vertical="top" wrapText="1"/>
    </xf>
    <xf numFmtId="165" fontId="9" fillId="0" borderId="1" xfId="1" applyNumberFormat="1" applyFont="1" applyFill="1" applyBorder="1" applyAlignment="1">
      <alignment horizontal="center" vertical="top" wrapText="1"/>
    </xf>
    <xf numFmtId="0" fontId="7" fillId="0" borderId="6" xfId="1" applyFont="1" applyFill="1" applyBorder="1" applyAlignment="1">
      <alignment horizontal="center" vertical="top" wrapText="1"/>
    </xf>
    <xf numFmtId="0" fontId="7" fillId="0" borderId="13" xfId="1" applyFont="1" applyFill="1" applyBorder="1" applyAlignment="1">
      <alignment horizontal="center" vertical="top" wrapText="1"/>
    </xf>
    <xf numFmtId="0" fontId="7" fillId="0" borderId="2" xfId="1" applyFont="1" applyFill="1" applyBorder="1" applyAlignment="1">
      <alignment horizontal="center" vertical="top" wrapText="1"/>
    </xf>
    <xf numFmtId="165" fontId="9" fillId="0" borderId="13" xfId="1" applyNumberFormat="1" applyFont="1" applyFill="1" applyBorder="1" applyAlignment="1">
      <alignment horizontal="center" vertical="top" wrapText="1"/>
    </xf>
    <xf numFmtId="0" fontId="15" fillId="0" borderId="0" xfId="2" applyFont="1" applyFill="1" applyAlignment="1">
      <alignment horizontal="justify" vertical="center" wrapText="1"/>
    </xf>
    <xf numFmtId="0" fontId="15" fillId="0" borderId="1" xfId="7" applyFont="1" applyFill="1" applyBorder="1" applyAlignment="1">
      <alignment horizontal="center" vertical="center" wrapText="1"/>
    </xf>
    <xf numFmtId="0" fontId="15" fillId="0" borderId="1" xfId="7" applyFont="1" applyFill="1" applyBorder="1" applyAlignment="1">
      <alignment horizontal="center" vertical="center"/>
    </xf>
    <xf numFmtId="0" fontId="15" fillId="0" borderId="6" xfId="7" applyFont="1" applyFill="1" applyBorder="1" applyAlignment="1">
      <alignment horizontal="center" vertical="center"/>
    </xf>
    <xf numFmtId="0" fontId="15" fillId="0" borderId="13" xfId="7" applyFont="1" applyFill="1" applyBorder="1" applyAlignment="1">
      <alignment horizontal="center" vertical="center"/>
    </xf>
    <xf numFmtId="0" fontId="15" fillId="0" borderId="2" xfId="7" applyFont="1" applyFill="1" applyBorder="1" applyAlignment="1">
      <alignment horizontal="center" vertical="center"/>
    </xf>
    <xf numFmtId="0" fontId="15" fillId="0" borderId="6" xfId="7" applyFont="1" applyFill="1" applyBorder="1" applyAlignment="1">
      <alignment horizontal="center" vertical="center" wrapText="1"/>
    </xf>
    <xf numFmtId="0" fontId="15" fillId="0" borderId="13" xfId="7" applyFont="1" applyFill="1" applyBorder="1" applyAlignment="1">
      <alignment horizontal="center" vertical="center" wrapText="1"/>
    </xf>
    <xf numFmtId="0" fontId="15" fillId="0" borderId="2" xfId="7" applyFont="1" applyFill="1" applyBorder="1" applyAlignment="1">
      <alignment horizontal="center" vertical="center" wrapText="1"/>
    </xf>
    <xf numFmtId="167" fontId="15" fillId="0" borderId="6" xfId="7" applyNumberFormat="1" applyFont="1" applyFill="1" applyBorder="1" applyAlignment="1">
      <alignment horizontal="center" vertical="center"/>
    </xf>
    <xf numFmtId="167" fontId="15" fillId="0" borderId="13" xfId="7" applyNumberFormat="1" applyFont="1" applyFill="1" applyBorder="1" applyAlignment="1">
      <alignment horizontal="center" vertical="center"/>
    </xf>
    <xf numFmtId="167" fontId="15" fillId="0" borderId="2" xfId="7" applyNumberFormat="1" applyFont="1" applyFill="1" applyBorder="1" applyAlignment="1">
      <alignment horizontal="center" vertical="center"/>
    </xf>
    <xf numFmtId="0" fontId="15" fillId="0" borderId="7" xfId="7" applyFont="1" applyFill="1" applyBorder="1" applyAlignment="1">
      <alignment horizontal="center" vertical="center" wrapText="1"/>
    </xf>
    <xf numFmtId="0" fontId="15" fillId="0" borderId="8" xfId="7" applyFont="1" applyFill="1" applyBorder="1" applyAlignment="1">
      <alignment horizontal="center" vertical="center" wrapText="1"/>
    </xf>
    <xf numFmtId="0" fontId="15" fillId="0" borderId="14" xfId="7" applyFont="1" applyFill="1" applyBorder="1" applyAlignment="1">
      <alignment horizontal="center" vertical="center" wrapText="1"/>
    </xf>
    <xf numFmtId="0" fontId="15" fillId="0" borderId="0" xfId="7" applyFont="1" applyFill="1" applyBorder="1" applyAlignment="1">
      <alignment horizontal="center" vertical="center" wrapText="1"/>
    </xf>
    <xf numFmtId="0" fontId="15" fillId="0" borderId="14" xfId="7" applyFont="1" applyFill="1" applyBorder="1" applyAlignment="1">
      <alignment horizontal="center" vertical="center"/>
    </xf>
    <xf numFmtId="0" fontId="15" fillId="0" borderId="0" xfId="7" applyFont="1" applyFill="1" applyBorder="1" applyAlignment="1">
      <alignment horizontal="center" vertical="center"/>
    </xf>
    <xf numFmtId="0" fontId="5" fillId="0" borderId="14" xfId="2" applyBorder="1" applyAlignment="1">
      <alignment horizontal="center" wrapText="1"/>
    </xf>
    <xf numFmtId="0" fontId="5" fillId="0" borderId="0" xfId="2" applyAlignment="1">
      <alignment horizontal="center" wrapText="1"/>
    </xf>
    <xf numFmtId="0" fontId="15" fillId="0" borderId="1" xfId="7" applyFont="1" applyFill="1" applyBorder="1" applyAlignment="1">
      <alignment horizontal="left" vertical="center" wrapText="1"/>
    </xf>
    <xf numFmtId="0" fontId="14" fillId="0" borderId="1" xfId="3" applyFont="1" applyFill="1" applyBorder="1" applyAlignment="1">
      <alignment horizontal="center" vertical="center" wrapText="1"/>
    </xf>
    <xf numFmtId="0" fontId="20" fillId="0" borderId="1" xfId="2" applyFont="1" applyFill="1" applyBorder="1" applyAlignment="1">
      <alignment horizontal="center" vertical="center" wrapText="1"/>
    </xf>
    <xf numFmtId="0" fontId="15" fillId="0" borderId="1" xfId="2" applyFont="1" applyFill="1" applyBorder="1" applyAlignment="1">
      <alignment horizontal="center" wrapText="1"/>
    </xf>
    <xf numFmtId="0" fontId="19" fillId="0" borderId="1" xfId="7" applyFont="1" applyFill="1" applyBorder="1" applyAlignment="1">
      <alignment horizontal="center" vertical="center" wrapText="1"/>
    </xf>
    <xf numFmtId="0" fontId="17" fillId="0" borderId="1" xfId="2" applyFont="1" applyFill="1" applyBorder="1" applyAlignment="1">
      <alignment horizontal="center" vertical="center" wrapText="1"/>
    </xf>
  </cellXfs>
  <cellStyles count="9">
    <cellStyle name="Обычный" xfId="0" builtinId="0"/>
    <cellStyle name="Обычный 2" xfId="1"/>
    <cellStyle name="Обычный 2 2" xfId="2"/>
    <cellStyle name="Обычный 2 3" xfId="4"/>
    <cellStyle name="Обычный 2 3 2" xfId="7"/>
    <cellStyle name="Обычный 2 4" xfId="5"/>
    <cellStyle name="Обычный 3" xfId="3"/>
    <cellStyle name="Финансовый" xfId="6" builtinId="3"/>
    <cellStyle name="Финансовый 2" xfId="8"/>
  </cellStyles>
  <dxfs count="0"/>
  <tableStyles count="0" defaultTableStyle="TableStyleMedium2" defaultPivotStyle="PivotStyleMedium9"/>
  <colors>
    <mruColors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M57"/>
  <sheetViews>
    <sheetView tabSelected="1" zoomScale="90" zoomScaleNormal="90" workbookViewId="0">
      <selection activeCell="B14" sqref="B14:B15"/>
    </sheetView>
  </sheetViews>
  <sheetFormatPr defaultRowHeight="15" x14ac:dyDescent="0.25"/>
  <cols>
    <col min="1" max="1" width="5.28515625" style="81" customWidth="1"/>
    <col min="2" max="2" width="27.42578125" style="81" customWidth="1"/>
    <col min="3" max="3" width="30.85546875" style="81" customWidth="1"/>
    <col min="4" max="4" width="11.5703125" style="81" customWidth="1"/>
    <col min="5" max="5" width="19.140625" style="81" customWidth="1"/>
    <col min="6" max="6" width="11.140625" style="81" customWidth="1"/>
    <col min="7" max="11" width="10.28515625" style="81" bestFit="1" customWidth="1"/>
    <col min="12" max="16384" width="9.140625" style="81"/>
  </cols>
  <sheetData>
    <row r="1" spans="2:13" ht="72.75" customHeight="1" x14ac:dyDescent="0.25">
      <c r="G1" s="153" t="s">
        <v>157</v>
      </c>
      <c r="H1" s="153"/>
      <c r="I1" s="153"/>
      <c r="J1" s="153"/>
      <c r="K1" s="153"/>
      <c r="L1" s="47"/>
      <c r="M1" s="47"/>
    </row>
    <row r="2" spans="2:13" ht="31.5" customHeight="1" x14ac:dyDescent="0.25">
      <c r="B2" s="162" t="s">
        <v>345</v>
      </c>
      <c r="C2" s="162"/>
      <c r="D2" s="162"/>
      <c r="E2" s="162"/>
      <c r="F2" s="162"/>
      <c r="G2" s="162"/>
      <c r="H2" s="162"/>
      <c r="I2" s="162"/>
      <c r="J2" s="162"/>
      <c r="K2" s="162"/>
    </row>
    <row r="3" spans="2:13" ht="15.75" customHeight="1" thickBot="1" x14ac:dyDescent="0.3"/>
    <row r="4" spans="2:13" ht="70.5" customHeight="1" thickBot="1" x14ac:dyDescent="0.3">
      <c r="B4" s="154" t="s">
        <v>347</v>
      </c>
      <c r="C4" s="154" t="s">
        <v>346</v>
      </c>
      <c r="D4" s="154" t="s">
        <v>192</v>
      </c>
      <c r="E4" s="169" t="s">
        <v>358</v>
      </c>
      <c r="F4" s="163" t="s">
        <v>276</v>
      </c>
      <c r="G4" s="164"/>
      <c r="H4" s="164"/>
      <c r="I4" s="164"/>
      <c r="J4" s="164"/>
      <c r="K4" s="165"/>
    </row>
    <row r="5" spans="2:13" ht="15.75" thickBot="1" x14ac:dyDescent="0.3">
      <c r="B5" s="155"/>
      <c r="C5" s="155"/>
      <c r="D5" s="155"/>
      <c r="E5" s="170"/>
      <c r="F5" s="82">
        <v>2017</v>
      </c>
      <c r="G5" s="82">
        <v>2018</v>
      </c>
      <c r="H5" s="82">
        <v>2019</v>
      </c>
      <c r="I5" s="82">
        <v>2020</v>
      </c>
      <c r="J5" s="82">
        <v>2021</v>
      </c>
      <c r="K5" s="82">
        <v>2022</v>
      </c>
    </row>
    <row r="6" spans="2:13" ht="28.5" customHeight="1" thickBot="1" x14ac:dyDescent="0.3">
      <c r="B6" s="163" t="s">
        <v>277</v>
      </c>
      <c r="C6" s="164"/>
      <c r="D6" s="164"/>
      <c r="E6" s="164"/>
      <c r="F6" s="164"/>
      <c r="G6" s="164"/>
      <c r="H6" s="164"/>
      <c r="I6" s="164"/>
      <c r="J6" s="164"/>
      <c r="K6" s="165"/>
    </row>
    <row r="7" spans="2:13" ht="15.75" thickBot="1" x14ac:dyDescent="0.3">
      <c r="B7" s="171" t="s">
        <v>278</v>
      </c>
      <c r="C7" s="172"/>
      <c r="D7" s="172"/>
      <c r="E7" s="172"/>
      <c r="F7" s="172"/>
      <c r="G7" s="172"/>
      <c r="H7" s="172"/>
      <c r="I7" s="172"/>
      <c r="J7" s="172"/>
      <c r="K7" s="173"/>
    </row>
    <row r="8" spans="2:13" ht="45.75" thickBot="1" x14ac:dyDescent="0.3">
      <c r="B8" s="158" t="s">
        <v>279</v>
      </c>
      <c r="C8" s="83" t="s">
        <v>280</v>
      </c>
      <c r="D8" s="84" t="s">
        <v>274</v>
      </c>
      <c r="E8" s="84">
        <v>100</v>
      </c>
      <c r="F8" s="84">
        <v>100</v>
      </c>
      <c r="G8" s="84">
        <v>100</v>
      </c>
      <c r="H8" s="84">
        <v>100</v>
      </c>
      <c r="I8" s="84">
        <v>100</v>
      </c>
      <c r="J8" s="84">
        <v>100</v>
      </c>
      <c r="K8" s="84">
        <v>100</v>
      </c>
    </row>
    <row r="9" spans="2:13" ht="60.75" thickBot="1" x14ac:dyDescent="0.3">
      <c r="B9" s="159"/>
      <c r="C9" s="83" t="s">
        <v>281</v>
      </c>
      <c r="D9" s="84" t="s">
        <v>274</v>
      </c>
      <c r="E9" s="84">
        <v>100</v>
      </c>
      <c r="F9" s="84">
        <v>100</v>
      </c>
      <c r="G9" s="84">
        <v>100</v>
      </c>
      <c r="H9" s="84">
        <v>100</v>
      </c>
      <c r="I9" s="84">
        <v>100</v>
      </c>
      <c r="J9" s="84">
        <v>100</v>
      </c>
      <c r="K9" s="84">
        <v>100</v>
      </c>
    </row>
    <row r="10" spans="2:13" ht="60.75" thickBot="1" x14ac:dyDescent="0.3">
      <c r="B10" s="160"/>
      <c r="C10" s="83" t="s">
        <v>282</v>
      </c>
      <c r="D10" s="84" t="s">
        <v>274</v>
      </c>
      <c r="E10" s="84">
        <v>100</v>
      </c>
      <c r="F10" s="84">
        <v>100</v>
      </c>
      <c r="G10" s="84">
        <v>0</v>
      </c>
      <c r="H10" s="84">
        <v>0</v>
      </c>
      <c r="I10" s="84">
        <v>0</v>
      </c>
      <c r="J10" s="84">
        <v>0</v>
      </c>
      <c r="K10" s="84">
        <v>0</v>
      </c>
    </row>
    <row r="11" spans="2:13" ht="15.75" thickBot="1" x14ac:dyDescent="0.3">
      <c r="B11" s="171" t="s">
        <v>283</v>
      </c>
      <c r="C11" s="172"/>
      <c r="D11" s="172"/>
      <c r="E11" s="172"/>
      <c r="F11" s="172"/>
      <c r="G11" s="172"/>
      <c r="H11" s="172"/>
      <c r="I11" s="172"/>
      <c r="J11" s="172"/>
      <c r="K11" s="173"/>
    </row>
    <row r="12" spans="2:13" ht="105.75" thickBot="1" x14ac:dyDescent="0.3">
      <c r="B12" s="80" t="s">
        <v>284</v>
      </c>
      <c r="C12" s="83" t="s">
        <v>285</v>
      </c>
      <c r="D12" s="84" t="s">
        <v>274</v>
      </c>
      <c r="E12" s="84">
        <v>100</v>
      </c>
      <c r="F12" s="84">
        <v>100</v>
      </c>
      <c r="G12" s="84">
        <v>100</v>
      </c>
      <c r="H12" s="84">
        <v>100</v>
      </c>
      <c r="I12" s="84">
        <v>100</v>
      </c>
      <c r="J12" s="84">
        <v>100</v>
      </c>
      <c r="K12" s="84">
        <v>100</v>
      </c>
    </row>
    <row r="13" spans="2:13" ht="15.75" thickBot="1" x14ac:dyDescent="0.3">
      <c r="B13" s="171" t="s">
        <v>286</v>
      </c>
      <c r="C13" s="172"/>
      <c r="D13" s="172"/>
      <c r="E13" s="172"/>
      <c r="F13" s="172"/>
      <c r="G13" s="172"/>
      <c r="H13" s="172"/>
      <c r="I13" s="172"/>
      <c r="J13" s="172"/>
      <c r="K13" s="173"/>
    </row>
    <row r="14" spans="2:13" ht="120.75" thickBot="1" x14ac:dyDescent="0.3">
      <c r="B14" s="156" t="s">
        <v>363</v>
      </c>
      <c r="C14" s="83" t="s">
        <v>287</v>
      </c>
      <c r="D14" s="84" t="s">
        <v>274</v>
      </c>
      <c r="E14" s="84">
        <v>0</v>
      </c>
      <c r="F14" s="84">
        <v>36</v>
      </c>
      <c r="G14" s="150">
        <v>44</v>
      </c>
      <c r="H14" s="85">
        <v>39.5</v>
      </c>
      <c r="I14" s="85">
        <v>24</v>
      </c>
      <c r="J14" s="85">
        <v>24</v>
      </c>
      <c r="K14" s="85">
        <v>24</v>
      </c>
    </row>
    <row r="15" spans="2:13" ht="180" customHeight="1" thickBot="1" x14ac:dyDescent="0.3">
      <c r="B15" s="157"/>
      <c r="C15" s="83" t="s">
        <v>288</v>
      </c>
      <c r="D15" s="84" t="s">
        <v>274</v>
      </c>
      <c r="E15" s="84">
        <v>0</v>
      </c>
      <c r="F15" s="84">
        <v>5.6</v>
      </c>
      <c r="G15" s="84">
        <v>31.3</v>
      </c>
      <c r="H15" s="86">
        <v>5.6</v>
      </c>
      <c r="I15" s="86">
        <v>5.6</v>
      </c>
      <c r="J15" s="86">
        <v>5.6</v>
      </c>
      <c r="K15" s="86">
        <v>5.6</v>
      </c>
    </row>
    <row r="16" spans="2:13" ht="110.25" customHeight="1" thickBot="1" x14ac:dyDescent="0.3">
      <c r="B16" s="80" t="s">
        <v>289</v>
      </c>
      <c r="C16" s="83" t="s">
        <v>290</v>
      </c>
      <c r="D16" s="84" t="s">
        <v>274</v>
      </c>
      <c r="E16" s="84">
        <v>100</v>
      </c>
      <c r="F16" s="84">
        <v>100</v>
      </c>
      <c r="G16" s="84">
        <v>100</v>
      </c>
      <c r="H16" s="86">
        <v>100</v>
      </c>
      <c r="I16" s="86">
        <v>100</v>
      </c>
      <c r="J16" s="86">
        <v>100</v>
      </c>
      <c r="K16" s="86">
        <v>100</v>
      </c>
    </row>
    <row r="17" spans="2:11" ht="110.25" customHeight="1" thickBot="1" x14ac:dyDescent="0.3">
      <c r="B17" s="79" t="s">
        <v>291</v>
      </c>
      <c r="C17" s="87" t="s">
        <v>292</v>
      </c>
      <c r="D17" s="85" t="s">
        <v>293</v>
      </c>
      <c r="E17" s="85">
        <v>11</v>
      </c>
      <c r="F17" s="85">
        <v>11</v>
      </c>
      <c r="G17" s="85">
        <v>11</v>
      </c>
      <c r="H17" s="86">
        <v>12</v>
      </c>
      <c r="I17" s="86">
        <v>13</v>
      </c>
      <c r="J17" s="86">
        <v>13</v>
      </c>
      <c r="K17" s="86">
        <v>13</v>
      </c>
    </row>
    <row r="18" spans="2:11" ht="120.75" thickBot="1" x14ac:dyDescent="0.3">
      <c r="B18" s="78" t="s">
        <v>294</v>
      </c>
      <c r="C18" s="88" t="s">
        <v>295</v>
      </c>
      <c r="D18" s="86" t="s">
        <v>274</v>
      </c>
      <c r="E18" s="86">
        <v>0</v>
      </c>
      <c r="F18" s="86">
        <v>100</v>
      </c>
      <c r="G18" s="86">
        <v>100</v>
      </c>
      <c r="H18" s="86">
        <v>100</v>
      </c>
      <c r="I18" s="86">
        <v>0</v>
      </c>
      <c r="J18" s="86">
        <v>0</v>
      </c>
      <c r="K18" s="86">
        <v>0</v>
      </c>
    </row>
    <row r="19" spans="2:11" ht="15.75" customHeight="1" thickBot="1" x14ac:dyDescent="0.3">
      <c r="B19" s="163" t="s">
        <v>296</v>
      </c>
      <c r="C19" s="164"/>
      <c r="D19" s="164"/>
      <c r="E19" s="164"/>
      <c r="F19" s="164"/>
      <c r="G19" s="164"/>
      <c r="H19" s="164"/>
      <c r="I19" s="164"/>
      <c r="J19" s="164"/>
      <c r="K19" s="165"/>
    </row>
    <row r="20" spans="2:11" ht="15.75" thickBot="1" x14ac:dyDescent="0.3">
      <c r="B20" s="171" t="s">
        <v>278</v>
      </c>
      <c r="C20" s="172"/>
      <c r="D20" s="172"/>
      <c r="E20" s="172"/>
      <c r="F20" s="172"/>
      <c r="G20" s="172"/>
      <c r="H20" s="172"/>
      <c r="I20" s="172"/>
      <c r="J20" s="172"/>
      <c r="K20" s="173"/>
    </row>
    <row r="21" spans="2:11" ht="45.75" thickBot="1" x14ac:dyDescent="0.3">
      <c r="B21" s="158" t="s">
        <v>297</v>
      </c>
      <c r="C21" s="83" t="s">
        <v>298</v>
      </c>
      <c r="D21" s="84" t="s">
        <v>299</v>
      </c>
      <c r="E21" s="84">
        <v>0</v>
      </c>
      <c r="F21" s="84">
        <v>3</v>
      </c>
      <c r="G21" s="84">
        <v>0</v>
      </c>
      <c r="H21" s="84">
        <v>0</v>
      </c>
      <c r="I21" s="84">
        <v>0</v>
      </c>
      <c r="J21" s="84">
        <v>0</v>
      </c>
      <c r="K21" s="84">
        <v>0</v>
      </c>
    </row>
    <row r="22" spans="2:11" ht="30.75" thickBot="1" x14ac:dyDescent="0.3">
      <c r="B22" s="159"/>
      <c r="C22" s="83" t="s">
        <v>300</v>
      </c>
      <c r="D22" s="84" t="s">
        <v>299</v>
      </c>
      <c r="E22" s="84">
        <v>0</v>
      </c>
      <c r="F22" s="84">
        <v>4</v>
      </c>
      <c r="G22" s="89">
        <v>4</v>
      </c>
      <c r="H22" s="84">
        <v>0</v>
      </c>
      <c r="I22" s="84">
        <v>0</v>
      </c>
      <c r="J22" s="84">
        <v>0</v>
      </c>
      <c r="K22" s="84">
        <v>0</v>
      </c>
    </row>
    <row r="23" spans="2:11" ht="90.75" thickBot="1" x14ac:dyDescent="0.3">
      <c r="B23" s="159"/>
      <c r="C23" s="83" t="s">
        <v>301</v>
      </c>
      <c r="D23" s="84" t="s">
        <v>299</v>
      </c>
      <c r="E23" s="84">
        <v>0</v>
      </c>
      <c r="F23" s="84">
        <v>1</v>
      </c>
      <c r="G23" s="84">
        <v>4</v>
      </c>
      <c r="H23" s="84">
        <v>3</v>
      </c>
      <c r="I23" s="84">
        <v>3</v>
      </c>
      <c r="J23" s="84">
        <v>0</v>
      </c>
      <c r="K23" s="84">
        <v>0</v>
      </c>
    </row>
    <row r="24" spans="2:11" ht="60.75" thickBot="1" x14ac:dyDescent="0.3">
      <c r="B24" s="159"/>
      <c r="C24" s="83" t="s">
        <v>302</v>
      </c>
      <c r="D24" s="84" t="s">
        <v>299</v>
      </c>
      <c r="E24" s="84">
        <v>10</v>
      </c>
      <c r="F24" s="84">
        <v>10</v>
      </c>
      <c r="G24" s="84">
        <v>10</v>
      </c>
      <c r="H24" s="84">
        <v>10</v>
      </c>
      <c r="I24" s="84">
        <v>10</v>
      </c>
      <c r="J24" s="84">
        <v>10</v>
      </c>
      <c r="K24" s="84">
        <v>10</v>
      </c>
    </row>
    <row r="25" spans="2:11" ht="105.75" thickBot="1" x14ac:dyDescent="0.3">
      <c r="B25" s="159"/>
      <c r="C25" s="83" t="s">
        <v>303</v>
      </c>
      <c r="D25" s="84" t="s">
        <v>304</v>
      </c>
      <c r="E25" s="84">
        <v>0</v>
      </c>
      <c r="F25" s="84">
        <v>6</v>
      </c>
      <c r="G25" s="84">
        <v>7</v>
      </c>
      <c r="H25" s="84">
        <v>1</v>
      </c>
      <c r="I25" s="84">
        <v>0</v>
      </c>
      <c r="J25" s="84">
        <v>0</v>
      </c>
      <c r="K25" s="84">
        <v>0</v>
      </c>
    </row>
    <row r="26" spans="2:11" ht="75.75" thickBot="1" x14ac:dyDescent="0.3">
      <c r="B26" s="160"/>
      <c r="C26" s="83" t="s">
        <v>305</v>
      </c>
      <c r="D26" s="84" t="s">
        <v>306</v>
      </c>
      <c r="E26" s="84">
        <v>0</v>
      </c>
      <c r="F26" s="84">
        <v>0</v>
      </c>
      <c r="G26" s="89">
        <v>1</v>
      </c>
      <c r="H26" s="84">
        <v>0</v>
      </c>
      <c r="I26" s="84">
        <v>0</v>
      </c>
      <c r="J26" s="84">
        <v>0</v>
      </c>
      <c r="K26" s="84">
        <v>0</v>
      </c>
    </row>
    <row r="27" spans="2:11" ht="60.75" thickBot="1" x14ac:dyDescent="0.3">
      <c r="B27" s="80" t="s">
        <v>180</v>
      </c>
      <c r="C27" s="83" t="s">
        <v>307</v>
      </c>
      <c r="D27" s="84" t="s">
        <v>306</v>
      </c>
      <c r="E27" s="84">
        <v>0</v>
      </c>
      <c r="F27" s="84">
        <v>0</v>
      </c>
      <c r="G27" s="89">
        <v>0</v>
      </c>
      <c r="H27" s="84">
        <v>1</v>
      </c>
      <c r="I27" s="84">
        <v>0</v>
      </c>
      <c r="J27" s="84">
        <v>0</v>
      </c>
      <c r="K27" s="84">
        <v>0</v>
      </c>
    </row>
    <row r="28" spans="2:11" ht="42.75" customHeight="1" thickBot="1" x14ac:dyDescent="0.3">
      <c r="B28" s="163" t="s">
        <v>308</v>
      </c>
      <c r="C28" s="164"/>
      <c r="D28" s="164"/>
      <c r="E28" s="164"/>
      <c r="F28" s="164"/>
      <c r="G28" s="164"/>
      <c r="H28" s="164"/>
      <c r="I28" s="164"/>
      <c r="J28" s="164"/>
      <c r="K28" s="165"/>
    </row>
    <row r="29" spans="2:11" ht="15.75" thickBot="1" x14ac:dyDescent="0.3">
      <c r="B29" s="171" t="s">
        <v>278</v>
      </c>
      <c r="C29" s="172"/>
      <c r="D29" s="172"/>
      <c r="E29" s="172"/>
      <c r="F29" s="172"/>
      <c r="G29" s="172"/>
      <c r="H29" s="172"/>
      <c r="I29" s="172"/>
      <c r="J29" s="172"/>
      <c r="K29" s="173"/>
    </row>
    <row r="30" spans="2:11" ht="114" customHeight="1" thickBot="1" x14ac:dyDescent="0.3">
      <c r="B30" s="80" t="s">
        <v>309</v>
      </c>
      <c r="C30" s="83" t="s">
        <v>310</v>
      </c>
      <c r="D30" s="84" t="s">
        <v>274</v>
      </c>
      <c r="E30" s="90">
        <v>100</v>
      </c>
      <c r="F30" s="84">
        <v>100</v>
      </c>
      <c r="G30" s="84">
        <v>100</v>
      </c>
      <c r="H30" s="84">
        <v>100</v>
      </c>
      <c r="I30" s="84">
        <v>100</v>
      </c>
      <c r="J30" s="84">
        <v>100</v>
      </c>
      <c r="K30" s="84">
        <v>100</v>
      </c>
    </row>
    <row r="31" spans="2:11" ht="117" customHeight="1" thickBot="1" x14ac:dyDescent="0.3">
      <c r="B31" s="158" t="s">
        <v>311</v>
      </c>
      <c r="C31" s="151" t="s">
        <v>362</v>
      </c>
      <c r="D31" s="156" t="s">
        <v>299</v>
      </c>
      <c r="E31" s="156">
        <v>15</v>
      </c>
      <c r="F31" s="156">
        <v>15</v>
      </c>
      <c r="G31" s="156">
        <v>39</v>
      </c>
      <c r="H31" s="156">
        <v>38</v>
      </c>
      <c r="I31" s="156">
        <v>38</v>
      </c>
      <c r="J31" s="156">
        <v>38</v>
      </c>
      <c r="K31" s="156">
        <v>38</v>
      </c>
    </row>
    <row r="32" spans="2:11" ht="15.75" hidden="1" customHeight="1" thickBot="1" x14ac:dyDescent="0.3">
      <c r="B32" s="160"/>
      <c r="C32" s="152"/>
      <c r="D32" s="157"/>
      <c r="E32" s="157"/>
      <c r="F32" s="157"/>
      <c r="G32" s="157"/>
      <c r="H32" s="157"/>
      <c r="I32" s="157"/>
      <c r="J32" s="157"/>
      <c r="K32" s="157"/>
    </row>
    <row r="33" spans="2:11" ht="28.5" customHeight="1" thickBot="1" x14ac:dyDescent="0.3">
      <c r="B33" s="163" t="s">
        <v>312</v>
      </c>
      <c r="C33" s="164"/>
      <c r="D33" s="164"/>
      <c r="E33" s="164"/>
      <c r="F33" s="164"/>
      <c r="G33" s="164"/>
      <c r="H33" s="164"/>
      <c r="I33" s="164"/>
      <c r="J33" s="164"/>
      <c r="K33" s="165"/>
    </row>
    <row r="34" spans="2:11" ht="15.75" thickBot="1" x14ac:dyDescent="0.3">
      <c r="B34" s="171" t="s">
        <v>278</v>
      </c>
      <c r="C34" s="172"/>
      <c r="D34" s="172"/>
      <c r="E34" s="172"/>
      <c r="F34" s="172"/>
      <c r="G34" s="172"/>
      <c r="H34" s="172"/>
      <c r="I34" s="172"/>
      <c r="J34" s="172"/>
      <c r="K34" s="173"/>
    </row>
    <row r="35" spans="2:11" ht="105.75" thickBot="1" x14ac:dyDescent="0.3">
      <c r="B35" s="80" t="s">
        <v>313</v>
      </c>
      <c r="C35" s="83" t="s">
        <v>314</v>
      </c>
      <c r="D35" s="84" t="s">
        <v>299</v>
      </c>
      <c r="E35" s="84">
        <v>212</v>
      </c>
      <c r="F35" s="84">
        <v>180</v>
      </c>
      <c r="G35" s="84">
        <v>180</v>
      </c>
      <c r="H35" s="84">
        <v>180</v>
      </c>
      <c r="I35" s="84">
        <v>180</v>
      </c>
      <c r="J35" s="84">
        <v>180</v>
      </c>
      <c r="K35" s="84">
        <v>180</v>
      </c>
    </row>
    <row r="36" spans="2:11" ht="15.75" thickBot="1" x14ac:dyDescent="0.3">
      <c r="B36" s="171" t="s">
        <v>283</v>
      </c>
      <c r="C36" s="172"/>
      <c r="D36" s="172"/>
      <c r="E36" s="172"/>
      <c r="F36" s="172"/>
      <c r="G36" s="172"/>
      <c r="H36" s="172"/>
      <c r="I36" s="172"/>
      <c r="J36" s="172"/>
      <c r="K36" s="173"/>
    </row>
    <row r="37" spans="2:11" ht="90.75" customHeight="1" thickBot="1" x14ac:dyDescent="0.3">
      <c r="B37" s="156" t="s">
        <v>315</v>
      </c>
      <c r="C37" s="83" t="s">
        <v>316</v>
      </c>
      <c r="D37" s="84" t="s">
        <v>299</v>
      </c>
      <c r="E37" s="84">
        <v>43</v>
      </c>
      <c r="F37" s="84">
        <v>45</v>
      </c>
      <c r="G37" s="84">
        <v>60</v>
      </c>
      <c r="H37" s="84">
        <v>60</v>
      </c>
      <c r="I37" s="84">
        <v>60</v>
      </c>
      <c r="J37" s="84">
        <v>60</v>
      </c>
      <c r="K37" s="84">
        <v>60</v>
      </c>
    </row>
    <row r="38" spans="2:11" ht="60.75" thickBot="1" x14ac:dyDescent="0.3">
      <c r="B38" s="161"/>
      <c r="C38" s="83" t="s">
        <v>317</v>
      </c>
      <c r="D38" s="84" t="s">
        <v>299</v>
      </c>
      <c r="E38" s="84">
        <v>26</v>
      </c>
      <c r="F38" s="84">
        <v>26</v>
      </c>
      <c r="G38" s="84">
        <v>26</v>
      </c>
      <c r="H38" s="84">
        <v>26</v>
      </c>
      <c r="I38" s="84">
        <v>26</v>
      </c>
      <c r="J38" s="84">
        <v>26</v>
      </c>
      <c r="K38" s="84">
        <v>26</v>
      </c>
    </row>
    <row r="39" spans="2:11" ht="60.75" thickBot="1" x14ac:dyDescent="0.3">
      <c r="B39" s="161"/>
      <c r="C39" s="91" t="s">
        <v>318</v>
      </c>
      <c r="D39" s="84" t="s">
        <v>319</v>
      </c>
      <c r="E39" s="84">
        <v>1410</v>
      </c>
      <c r="F39" s="84">
        <v>1500</v>
      </c>
      <c r="G39" s="84">
        <v>1500</v>
      </c>
      <c r="H39" s="84">
        <v>1500</v>
      </c>
      <c r="I39" s="84">
        <v>1500</v>
      </c>
      <c r="J39" s="84">
        <v>1500</v>
      </c>
      <c r="K39" s="84">
        <v>1500</v>
      </c>
    </row>
    <row r="40" spans="2:11" ht="45.75" thickBot="1" x14ac:dyDescent="0.3">
      <c r="B40" s="161"/>
      <c r="C40" s="91" t="s">
        <v>320</v>
      </c>
      <c r="D40" s="84" t="s">
        <v>321</v>
      </c>
      <c r="E40" s="84">
        <v>120</v>
      </c>
      <c r="F40" s="84">
        <v>100</v>
      </c>
      <c r="G40" s="84">
        <v>100</v>
      </c>
      <c r="H40" s="84">
        <v>100</v>
      </c>
      <c r="I40" s="84">
        <v>100</v>
      </c>
      <c r="J40" s="84">
        <v>100</v>
      </c>
      <c r="K40" s="84">
        <v>100</v>
      </c>
    </row>
    <row r="41" spans="2:11" ht="60.75" thickBot="1" x14ac:dyDescent="0.3">
      <c r="B41" s="157"/>
      <c r="C41" s="91" t="s">
        <v>322</v>
      </c>
      <c r="D41" s="84" t="s">
        <v>323</v>
      </c>
      <c r="E41" s="84" t="s">
        <v>250</v>
      </c>
      <c r="F41" s="84" t="s">
        <v>250</v>
      </c>
      <c r="G41" s="84" t="s">
        <v>250</v>
      </c>
      <c r="H41" s="84" t="s">
        <v>250</v>
      </c>
      <c r="I41" s="84" t="s">
        <v>250</v>
      </c>
      <c r="J41" s="84">
        <v>0</v>
      </c>
      <c r="K41" s="84">
        <v>0</v>
      </c>
    </row>
    <row r="42" spans="2:11" ht="28.5" customHeight="1" thickBot="1" x14ac:dyDescent="0.3">
      <c r="B42" s="163" t="s">
        <v>324</v>
      </c>
      <c r="C42" s="164"/>
      <c r="D42" s="164"/>
      <c r="E42" s="164"/>
      <c r="F42" s="164"/>
      <c r="G42" s="164"/>
      <c r="H42" s="164"/>
      <c r="I42" s="164"/>
      <c r="J42" s="164"/>
      <c r="K42" s="165"/>
    </row>
    <row r="43" spans="2:11" ht="15.75" thickBot="1" x14ac:dyDescent="0.3">
      <c r="B43" s="166" t="s">
        <v>278</v>
      </c>
      <c r="C43" s="167"/>
      <c r="D43" s="167"/>
      <c r="E43" s="167"/>
      <c r="F43" s="167"/>
      <c r="G43" s="167"/>
      <c r="H43" s="167"/>
      <c r="I43" s="167"/>
      <c r="J43" s="167"/>
      <c r="K43" s="168"/>
    </row>
    <row r="44" spans="2:11" ht="30.75" thickBot="1" x14ac:dyDescent="0.3">
      <c r="B44" s="158" t="s">
        <v>325</v>
      </c>
      <c r="C44" s="91" t="s">
        <v>326</v>
      </c>
      <c r="D44" s="84" t="s">
        <v>299</v>
      </c>
      <c r="E44" s="84">
        <v>20</v>
      </c>
      <c r="F44" s="84">
        <v>15</v>
      </c>
      <c r="G44" s="84">
        <v>15</v>
      </c>
      <c r="H44" s="84">
        <v>15</v>
      </c>
      <c r="I44" s="84">
        <v>15</v>
      </c>
      <c r="J44" s="84">
        <v>15</v>
      </c>
      <c r="K44" s="84">
        <v>15</v>
      </c>
    </row>
    <row r="45" spans="2:11" ht="30.75" thickBot="1" x14ac:dyDescent="0.3">
      <c r="B45" s="159"/>
      <c r="C45" s="91" t="s">
        <v>327</v>
      </c>
      <c r="D45" s="84" t="s">
        <v>328</v>
      </c>
      <c r="E45" s="84">
        <v>0</v>
      </c>
      <c r="F45" s="84">
        <v>20</v>
      </c>
      <c r="G45" s="84">
        <v>20</v>
      </c>
      <c r="H45" s="84">
        <v>20</v>
      </c>
      <c r="I45" s="84">
        <v>20</v>
      </c>
      <c r="J45" s="84">
        <v>20</v>
      </c>
      <c r="K45" s="84">
        <v>20</v>
      </c>
    </row>
    <row r="46" spans="2:11" ht="30.75" thickBot="1" x14ac:dyDescent="0.3">
      <c r="B46" s="159"/>
      <c r="C46" s="91" t="s">
        <v>329</v>
      </c>
      <c r="D46" s="84" t="s">
        <v>321</v>
      </c>
      <c r="E46" s="84">
        <v>0</v>
      </c>
      <c r="F46" s="84">
        <v>15</v>
      </c>
      <c r="G46" s="84">
        <v>0</v>
      </c>
      <c r="H46" s="84">
        <v>0</v>
      </c>
      <c r="I46" s="84">
        <v>0</v>
      </c>
      <c r="J46" s="84">
        <v>0</v>
      </c>
      <c r="K46" s="84">
        <v>0</v>
      </c>
    </row>
    <row r="47" spans="2:11" ht="59.25" customHeight="1" thickBot="1" x14ac:dyDescent="0.3">
      <c r="B47" s="160"/>
      <c r="C47" s="91" t="s">
        <v>330</v>
      </c>
      <c r="D47" s="84" t="s">
        <v>321</v>
      </c>
      <c r="E47" s="84">
        <v>0</v>
      </c>
      <c r="F47" s="84">
        <v>2</v>
      </c>
      <c r="G47" s="84">
        <v>1</v>
      </c>
      <c r="H47" s="84">
        <v>1</v>
      </c>
      <c r="I47" s="84">
        <v>0</v>
      </c>
      <c r="J47" s="84">
        <v>0</v>
      </c>
      <c r="K47" s="84">
        <v>0</v>
      </c>
    </row>
    <row r="48" spans="2:11" ht="28.5" customHeight="1" thickBot="1" x14ac:dyDescent="0.3">
      <c r="B48" s="163" t="s">
        <v>331</v>
      </c>
      <c r="C48" s="164"/>
      <c r="D48" s="164"/>
      <c r="E48" s="164"/>
      <c r="F48" s="164"/>
      <c r="G48" s="164"/>
      <c r="H48" s="164"/>
      <c r="I48" s="164"/>
      <c r="J48" s="164"/>
      <c r="K48" s="165"/>
    </row>
    <row r="49" spans="2:11" ht="15.75" thickBot="1" x14ac:dyDescent="0.3">
      <c r="B49" s="166" t="s">
        <v>278</v>
      </c>
      <c r="C49" s="167"/>
      <c r="D49" s="167"/>
      <c r="E49" s="167"/>
      <c r="F49" s="167"/>
      <c r="G49" s="167"/>
      <c r="H49" s="167"/>
      <c r="I49" s="167"/>
      <c r="J49" s="167"/>
      <c r="K49" s="168"/>
    </row>
    <row r="50" spans="2:11" ht="75.75" thickBot="1" x14ac:dyDescent="0.3">
      <c r="B50" s="158" t="s">
        <v>332</v>
      </c>
      <c r="C50" s="91" t="s">
        <v>333</v>
      </c>
      <c r="D50" s="84" t="s">
        <v>334</v>
      </c>
      <c r="E50" s="84">
        <v>346</v>
      </c>
      <c r="F50" s="84">
        <v>306.3</v>
      </c>
      <c r="G50" s="148">
        <v>302.7</v>
      </c>
      <c r="H50" s="84">
        <v>296.5</v>
      </c>
      <c r="I50" s="84">
        <v>296.5</v>
      </c>
      <c r="J50" s="84">
        <v>296.5</v>
      </c>
      <c r="K50" s="84">
        <v>296.5</v>
      </c>
    </row>
    <row r="51" spans="2:11" ht="60.75" thickBot="1" x14ac:dyDescent="0.3">
      <c r="B51" s="159"/>
      <c r="C51" s="91" t="s">
        <v>335</v>
      </c>
      <c r="D51" s="84" t="s">
        <v>336</v>
      </c>
      <c r="E51" s="84">
        <v>945</v>
      </c>
      <c r="F51" s="84">
        <v>946</v>
      </c>
      <c r="G51" s="94">
        <f>1241.4+61.6</f>
        <v>1303</v>
      </c>
      <c r="H51" s="94">
        <v>1241.4000000000001</v>
      </c>
      <c r="I51" s="94">
        <v>1241.4000000000001</v>
      </c>
      <c r="J51" s="94">
        <v>1241.4000000000001</v>
      </c>
      <c r="K51" s="94">
        <v>1241.4000000000001</v>
      </c>
    </row>
    <row r="52" spans="2:11" ht="75.75" thickBot="1" x14ac:dyDescent="0.3">
      <c r="B52" s="159"/>
      <c r="C52" s="91" t="s">
        <v>337</v>
      </c>
      <c r="D52" s="84"/>
      <c r="E52" s="84"/>
      <c r="F52" s="84"/>
      <c r="G52" s="84"/>
      <c r="H52" s="84"/>
      <c r="I52" s="84"/>
      <c r="J52" s="84"/>
      <c r="K52" s="84"/>
    </row>
    <row r="53" spans="2:11" ht="15.75" thickBot="1" x14ac:dyDescent="0.3">
      <c r="B53" s="159"/>
      <c r="C53" s="92" t="s">
        <v>338</v>
      </c>
      <c r="D53" s="84" t="s">
        <v>339</v>
      </c>
      <c r="E53" s="84">
        <v>451</v>
      </c>
      <c r="F53" s="84">
        <v>380</v>
      </c>
      <c r="G53" s="84">
        <v>380</v>
      </c>
      <c r="H53" s="84">
        <v>380</v>
      </c>
      <c r="I53" s="84">
        <v>380</v>
      </c>
      <c r="J53" s="84">
        <v>380</v>
      </c>
      <c r="K53" s="84">
        <v>380</v>
      </c>
    </row>
    <row r="54" spans="2:11" ht="15.75" thickBot="1" x14ac:dyDescent="0.3">
      <c r="B54" s="159"/>
      <c r="C54" s="92" t="s">
        <v>340</v>
      </c>
      <c r="D54" s="84" t="s">
        <v>341</v>
      </c>
      <c r="E54" s="84">
        <v>59</v>
      </c>
      <c r="F54" s="84">
        <v>74</v>
      </c>
      <c r="G54" s="84">
        <v>74</v>
      </c>
      <c r="H54" s="84">
        <v>74</v>
      </c>
      <c r="I54" s="84">
        <v>74</v>
      </c>
      <c r="J54" s="84">
        <v>74</v>
      </c>
      <c r="K54" s="84">
        <v>74</v>
      </c>
    </row>
    <row r="55" spans="2:11" ht="15.75" thickBot="1" x14ac:dyDescent="0.3">
      <c r="B55" s="160"/>
      <c r="C55" s="92" t="s">
        <v>342</v>
      </c>
      <c r="D55" s="84" t="s">
        <v>341</v>
      </c>
      <c r="E55" s="84">
        <v>2150</v>
      </c>
      <c r="F55" s="84">
        <v>209.1</v>
      </c>
      <c r="G55" s="84">
        <v>209.1</v>
      </c>
      <c r="H55" s="84">
        <v>209.1</v>
      </c>
      <c r="I55" s="84">
        <v>209.1</v>
      </c>
      <c r="J55" s="84">
        <v>209.1</v>
      </c>
      <c r="K55" s="84">
        <v>209.1</v>
      </c>
    </row>
    <row r="56" spans="2:11" ht="105.75" thickBot="1" x14ac:dyDescent="0.3">
      <c r="B56" s="93" t="s">
        <v>289</v>
      </c>
      <c r="C56" s="91" t="s">
        <v>290</v>
      </c>
      <c r="D56" s="84" t="s">
        <v>274</v>
      </c>
      <c r="E56" s="84">
        <v>100</v>
      </c>
      <c r="F56" s="84">
        <v>100</v>
      </c>
      <c r="G56" s="84">
        <v>100</v>
      </c>
      <c r="H56" s="84">
        <v>100</v>
      </c>
      <c r="I56" s="84">
        <v>100</v>
      </c>
      <c r="J56" s="84">
        <v>100</v>
      </c>
      <c r="K56" s="84">
        <v>100</v>
      </c>
    </row>
    <row r="57" spans="2:11" ht="105.75" thickBot="1" x14ac:dyDescent="0.3">
      <c r="B57" s="80" t="s">
        <v>343</v>
      </c>
      <c r="C57" s="91" t="s">
        <v>344</v>
      </c>
      <c r="D57" s="84" t="s">
        <v>274</v>
      </c>
      <c r="E57" s="84">
        <v>100</v>
      </c>
      <c r="F57" s="84">
        <v>100</v>
      </c>
      <c r="G57" s="84">
        <v>100</v>
      </c>
      <c r="H57" s="84">
        <v>100</v>
      </c>
      <c r="I57" s="84">
        <v>100</v>
      </c>
      <c r="J57" s="84">
        <v>0</v>
      </c>
      <c r="K57" s="84">
        <v>0</v>
      </c>
    </row>
  </sheetData>
  <mergeCells count="37">
    <mergeCell ref="B28:K28"/>
    <mergeCell ref="B29:K29"/>
    <mergeCell ref="B36:K36"/>
    <mergeCell ref="B7:K7"/>
    <mergeCell ref="B33:K33"/>
    <mergeCell ref="B34:K34"/>
    <mergeCell ref="J31:J32"/>
    <mergeCell ref="K31:K32"/>
    <mergeCell ref="B31:B32"/>
    <mergeCell ref="D31:D32"/>
    <mergeCell ref="E31:E32"/>
    <mergeCell ref="F31:F32"/>
    <mergeCell ref="G31:G32"/>
    <mergeCell ref="H31:H32"/>
    <mergeCell ref="B8:B10"/>
    <mergeCell ref="B21:B26"/>
    <mergeCell ref="B6:K6"/>
    <mergeCell ref="B11:K11"/>
    <mergeCell ref="B13:K13"/>
    <mergeCell ref="B19:K19"/>
    <mergeCell ref="B20:K20"/>
    <mergeCell ref="G1:K1"/>
    <mergeCell ref="C4:C5"/>
    <mergeCell ref="B4:B5"/>
    <mergeCell ref="B14:B15"/>
    <mergeCell ref="B50:B55"/>
    <mergeCell ref="B37:B41"/>
    <mergeCell ref="B2:K2"/>
    <mergeCell ref="B42:K42"/>
    <mergeCell ref="B43:K43"/>
    <mergeCell ref="B44:B47"/>
    <mergeCell ref="B48:K48"/>
    <mergeCell ref="B49:K49"/>
    <mergeCell ref="I31:I32"/>
    <mergeCell ref="D4:D5"/>
    <mergeCell ref="E4:E5"/>
    <mergeCell ref="F4:K4"/>
  </mergeCells>
  <pageMargins left="0.70866141732283472" right="0.31496062992125984" top="0.35433070866141736" bottom="0.74803149606299213" header="0.31496062992125984" footer="0.31496062992125984"/>
  <pageSetup paperSize="9" scale="55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AM120"/>
  <sheetViews>
    <sheetView view="pageBreakPreview" topLeftCell="A106" zoomScale="80" zoomScaleNormal="70" zoomScaleSheetLayoutView="80" workbookViewId="0">
      <selection activeCell="A18" sqref="A18"/>
    </sheetView>
  </sheetViews>
  <sheetFormatPr defaultColWidth="9.140625" defaultRowHeight="15.75" outlineLevelRow="3" outlineLevelCol="1" x14ac:dyDescent="0.25"/>
  <cols>
    <col min="1" max="1" width="10.85546875" style="48" customWidth="1"/>
    <col min="2" max="2" width="32.28515625" style="48" customWidth="1"/>
    <col min="3" max="3" width="20" style="48" customWidth="1"/>
    <col min="4" max="4" width="21.140625" style="48" customWidth="1"/>
    <col min="5" max="5" width="17.85546875" style="49" customWidth="1"/>
    <col min="6" max="7" width="17.85546875" style="48" customWidth="1" outlineLevel="1"/>
    <col min="8" max="8" width="17.85546875" style="48" customWidth="1"/>
    <col min="9" max="9" width="17.85546875" style="48" customWidth="1" outlineLevel="1"/>
    <col min="10" max="10" width="16.85546875" style="49" customWidth="1"/>
    <col min="11" max="12" width="16.85546875" style="48" customWidth="1" outlineLevel="1"/>
    <col min="13" max="13" width="16.85546875" style="48" customWidth="1"/>
    <col min="14" max="14" width="15.7109375" style="48" customWidth="1" outlineLevel="1"/>
    <col min="15" max="15" width="16.85546875" style="17" customWidth="1"/>
    <col min="16" max="16" width="16.85546875" style="4" customWidth="1" outlineLevel="1"/>
    <col min="17" max="17" width="16.85546875" style="48" customWidth="1" outlineLevel="1"/>
    <col min="18" max="18" width="14.85546875" style="48" customWidth="1"/>
    <col min="19" max="19" width="15.7109375" style="48" customWidth="1" outlineLevel="1"/>
    <col min="20" max="20" width="15.28515625" style="49" customWidth="1"/>
    <col min="21" max="21" width="16.85546875" style="48" customWidth="1" outlineLevel="1" collapsed="1"/>
    <col min="22" max="22" width="16.85546875" style="48" customWidth="1" outlineLevel="1"/>
    <col min="23" max="23" width="15.5703125" style="48" customWidth="1"/>
    <col min="24" max="24" width="15.7109375" style="4" customWidth="1" outlineLevel="1"/>
    <col min="25" max="25" width="14.5703125" style="49" customWidth="1"/>
    <col min="26" max="26" width="16.85546875" style="48" customWidth="1" outlineLevel="1" collapsed="1"/>
    <col min="27" max="27" width="16.85546875" style="48" customWidth="1" outlineLevel="1"/>
    <col min="28" max="28" width="14.140625" style="48" customWidth="1"/>
    <col min="29" max="29" width="15.7109375" style="4" customWidth="1" outlineLevel="1"/>
    <col min="30" max="30" width="15.5703125" style="49" customWidth="1"/>
    <col min="31" max="31" width="16.85546875" style="48" customWidth="1" outlineLevel="1" collapsed="1"/>
    <col min="32" max="32" width="16.85546875" style="48" customWidth="1" outlineLevel="1"/>
    <col min="33" max="33" width="15" style="48" customWidth="1"/>
    <col min="34" max="34" width="15.7109375" style="4" customWidth="1" outlineLevel="1"/>
    <col min="35" max="35" width="15" style="49" customWidth="1"/>
    <col min="36" max="36" width="16.85546875" style="48" customWidth="1" outlineLevel="1" collapsed="1"/>
    <col min="37" max="37" width="16.85546875" style="48" customWidth="1" outlineLevel="1"/>
    <col min="38" max="38" width="15.42578125" style="48" customWidth="1"/>
    <col min="39" max="39" width="15.7109375" style="4" customWidth="1" outlineLevel="1"/>
    <col min="40" max="40" width="10.28515625" style="48" bestFit="1" customWidth="1"/>
    <col min="41" max="41" width="6.85546875" style="48" bestFit="1" customWidth="1"/>
    <col min="42" max="42" width="10.28515625" style="48" bestFit="1" customWidth="1"/>
    <col min="43" max="44" width="6.85546875" style="48" bestFit="1" customWidth="1"/>
    <col min="45" max="45" width="10.28515625" style="48" bestFit="1" customWidth="1"/>
    <col min="46" max="46" width="3.85546875" style="48" bestFit="1" customWidth="1"/>
    <col min="47" max="48" width="9.28515625" style="48" customWidth="1"/>
    <col min="49" max="16384" width="9.140625" style="48"/>
  </cols>
  <sheetData>
    <row r="1" spans="1:39" s="10" customFormat="1" ht="69" customHeight="1" x14ac:dyDescent="0.25">
      <c r="B1" s="19"/>
      <c r="C1" s="11"/>
      <c r="D1" s="11"/>
      <c r="E1" s="15"/>
      <c r="F1" s="13"/>
      <c r="G1" s="13"/>
      <c r="H1" s="13"/>
      <c r="I1" s="13"/>
      <c r="J1" s="16"/>
      <c r="K1" s="12"/>
      <c r="O1" s="14"/>
      <c r="AG1" s="175" t="s">
        <v>182</v>
      </c>
      <c r="AH1" s="175"/>
      <c r="AI1" s="175"/>
      <c r="AJ1" s="175"/>
      <c r="AK1" s="175"/>
      <c r="AL1" s="175"/>
    </row>
    <row r="2" spans="1:39" ht="41.25" customHeight="1" x14ac:dyDescent="0.25">
      <c r="A2" s="176" t="s">
        <v>181</v>
      </c>
      <c r="B2" s="176"/>
      <c r="C2" s="176"/>
      <c r="D2" s="176"/>
      <c r="E2" s="176"/>
      <c r="F2" s="176"/>
      <c r="G2" s="176"/>
      <c r="H2" s="176"/>
      <c r="I2" s="176"/>
      <c r="J2" s="176"/>
      <c r="K2" s="176"/>
      <c r="L2" s="176"/>
      <c r="M2" s="176"/>
      <c r="N2" s="176"/>
      <c r="O2" s="176"/>
      <c r="P2" s="176"/>
      <c r="Q2" s="176"/>
      <c r="R2" s="176"/>
      <c r="S2" s="176"/>
      <c r="T2" s="176"/>
      <c r="U2" s="176"/>
      <c r="V2" s="176"/>
      <c r="W2" s="176"/>
      <c r="X2" s="176"/>
      <c r="Y2" s="176"/>
      <c r="Z2" s="176"/>
      <c r="AA2" s="176"/>
      <c r="AB2" s="176"/>
      <c r="AC2" s="176"/>
      <c r="AD2" s="176"/>
      <c r="AE2" s="176"/>
      <c r="AF2" s="176"/>
      <c r="AG2" s="176"/>
      <c r="AH2" s="176"/>
      <c r="AI2" s="176"/>
      <c r="AJ2" s="176"/>
      <c r="AK2" s="176"/>
      <c r="AL2" s="176"/>
    </row>
    <row r="3" spans="1:39" x14ac:dyDescent="0.25">
      <c r="AD3" s="50"/>
    </row>
    <row r="4" spans="1:39" ht="15.75" customHeight="1" x14ac:dyDescent="0.25">
      <c r="A4" s="177" t="s">
        <v>2</v>
      </c>
      <c r="B4" s="177" t="s">
        <v>4</v>
      </c>
      <c r="C4" s="177" t="s">
        <v>92</v>
      </c>
      <c r="D4" s="177" t="s">
        <v>0</v>
      </c>
      <c r="E4" s="180" t="s">
        <v>159</v>
      </c>
      <c r="F4" s="181"/>
      <c r="G4" s="181"/>
      <c r="H4" s="181"/>
      <c r="I4" s="182"/>
      <c r="J4" s="186" t="s">
        <v>3</v>
      </c>
      <c r="K4" s="187"/>
      <c r="L4" s="187"/>
      <c r="M4" s="187"/>
      <c r="N4" s="187"/>
      <c r="O4" s="187"/>
      <c r="P4" s="187"/>
      <c r="Q4" s="187"/>
      <c r="R4" s="187"/>
      <c r="S4" s="187"/>
      <c r="T4" s="187"/>
      <c r="U4" s="187"/>
      <c r="V4" s="187"/>
      <c r="W4" s="187"/>
      <c r="X4" s="187"/>
      <c r="Y4" s="187"/>
      <c r="Z4" s="187"/>
      <c r="AA4" s="187"/>
      <c r="AB4" s="187"/>
      <c r="AC4" s="187"/>
      <c r="AD4" s="187"/>
      <c r="AE4" s="187"/>
      <c r="AF4" s="187"/>
      <c r="AG4" s="187"/>
      <c r="AH4" s="187"/>
      <c r="AI4" s="187"/>
      <c r="AJ4" s="187"/>
      <c r="AK4" s="187"/>
      <c r="AL4" s="188"/>
      <c r="AM4" s="48"/>
    </row>
    <row r="5" spans="1:39" ht="15.75" customHeight="1" x14ac:dyDescent="0.25">
      <c r="A5" s="178"/>
      <c r="B5" s="178"/>
      <c r="C5" s="178"/>
      <c r="D5" s="178"/>
      <c r="E5" s="183"/>
      <c r="F5" s="184"/>
      <c r="G5" s="184"/>
      <c r="H5" s="184"/>
      <c r="I5" s="185"/>
      <c r="J5" s="186" t="s">
        <v>7</v>
      </c>
      <c r="K5" s="187"/>
      <c r="L5" s="187"/>
      <c r="M5" s="187"/>
      <c r="N5" s="188"/>
      <c r="O5" s="186" t="s">
        <v>8</v>
      </c>
      <c r="P5" s="187"/>
      <c r="Q5" s="187"/>
      <c r="R5" s="187"/>
      <c r="S5" s="188"/>
      <c r="T5" s="186" t="s">
        <v>9</v>
      </c>
      <c r="U5" s="187"/>
      <c r="V5" s="187"/>
      <c r="W5" s="187"/>
      <c r="X5" s="188"/>
      <c r="Y5" s="186" t="s">
        <v>160</v>
      </c>
      <c r="Z5" s="187"/>
      <c r="AA5" s="187"/>
      <c r="AB5" s="187"/>
      <c r="AC5" s="188"/>
      <c r="AD5" s="186" t="s">
        <v>161</v>
      </c>
      <c r="AE5" s="187"/>
      <c r="AF5" s="187"/>
      <c r="AG5" s="187"/>
      <c r="AH5" s="188"/>
      <c r="AI5" s="186" t="s">
        <v>162</v>
      </c>
      <c r="AJ5" s="187"/>
      <c r="AK5" s="187"/>
      <c r="AL5" s="187"/>
      <c r="AM5" s="188"/>
    </row>
    <row r="6" spans="1:39" x14ac:dyDescent="0.25">
      <c r="A6" s="178"/>
      <c r="B6" s="178"/>
      <c r="C6" s="178"/>
      <c r="D6" s="178"/>
      <c r="E6" s="189" t="s">
        <v>1</v>
      </c>
      <c r="F6" s="191" t="s">
        <v>3</v>
      </c>
      <c r="G6" s="192"/>
      <c r="H6" s="192"/>
      <c r="I6" s="193"/>
      <c r="J6" s="189" t="s">
        <v>1</v>
      </c>
      <c r="K6" s="191" t="s">
        <v>3</v>
      </c>
      <c r="L6" s="192"/>
      <c r="M6" s="192"/>
      <c r="N6" s="193"/>
      <c r="O6" s="189" t="s">
        <v>1</v>
      </c>
      <c r="P6" s="191" t="s">
        <v>3</v>
      </c>
      <c r="Q6" s="192"/>
      <c r="R6" s="192"/>
      <c r="S6" s="193"/>
      <c r="T6" s="189" t="s">
        <v>1</v>
      </c>
      <c r="U6" s="191" t="s">
        <v>3</v>
      </c>
      <c r="V6" s="192"/>
      <c r="W6" s="192"/>
      <c r="X6" s="193"/>
      <c r="Y6" s="189" t="s">
        <v>1</v>
      </c>
      <c r="Z6" s="191" t="s">
        <v>3</v>
      </c>
      <c r="AA6" s="192"/>
      <c r="AB6" s="192"/>
      <c r="AC6" s="193"/>
      <c r="AD6" s="189" t="s">
        <v>1</v>
      </c>
      <c r="AE6" s="191" t="s">
        <v>3</v>
      </c>
      <c r="AF6" s="192"/>
      <c r="AG6" s="192"/>
      <c r="AH6" s="193"/>
      <c r="AI6" s="189" t="s">
        <v>1</v>
      </c>
      <c r="AJ6" s="191" t="s">
        <v>3</v>
      </c>
      <c r="AK6" s="192"/>
      <c r="AL6" s="192"/>
      <c r="AM6" s="193"/>
    </row>
    <row r="7" spans="1:39" s="52" customFormat="1" ht="31.5" x14ac:dyDescent="0.25">
      <c r="A7" s="179"/>
      <c r="B7" s="179"/>
      <c r="C7" s="179"/>
      <c r="D7" s="179"/>
      <c r="E7" s="190"/>
      <c r="F7" s="51" t="s">
        <v>29</v>
      </c>
      <c r="G7" s="51" t="s">
        <v>30</v>
      </c>
      <c r="H7" s="51" t="s">
        <v>31</v>
      </c>
      <c r="I7" s="51" t="s">
        <v>32</v>
      </c>
      <c r="J7" s="190"/>
      <c r="K7" s="51" t="s">
        <v>29</v>
      </c>
      <c r="L7" s="51" t="s">
        <v>30</v>
      </c>
      <c r="M7" s="51" t="s">
        <v>31</v>
      </c>
      <c r="N7" s="51" t="s">
        <v>32</v>
      </c>
      <c r="O7" s="190"/>
      <c r="P7" s="51" t="s">
        <v>29</v>
      </c>
      <c r="Q7" s="51" t="s">
        <v>30</v>
      </c>
      <c r="R7" s="51" t="s">
        <v>31</v>
      </c>
      <c r="S7" s="51" t="s">
        <v>32</v>
      </c>
      <c r="T7" s="190"/>
      <c r="U7" s="51" t="s">
        <v>29</v>
      </c>
      <c r="V7" s="51" t="s">
        <v>30</v>
      </c>
      <c r="W7" s="51" t="s">
        <v>31</v>
      </c>
      <c r="X7" s="51" t="s">
        <v>32</v>
      </c>
      <c r="Y7" s="190"/>
      <c r="Z7" s="51" t="s">
        <v>29</v>
      </c>
      <c r="AA7" s="51" t="s">
        <v>30</v>
      </c>
      <c r="AB7" s="51" t="s">
        <v>31</v>
      </c>
      <c r="AC7" s="51" t="s">
        <v>32</v>
      </c>
      <c r="AD7" s="190"/>
      <c r="AE7" s="51" t="s">
        <v>29</v>
      </c>
      <c r="AF7" s="51" t="s">
        <v>30</v>
      </c>
      <c r="AG7" s="51" t="s">
        <v>31</v>
      </c>
      <c r="AH7" s="51" t="s">
        <v>32</v>
      </c>
      <c r="AI7" s="190"/>
      <c r="AJ7" s="51" t="s">
        <v>29</v>
      </c>
      <c r="AK7" s="51" t="s">
        <v>30</v>
      </c>
      <c r="AL7" s="51" t="s">
        <v>31</v>
      </c>
      <c r="AM7" s="51" t="s">
        <v>32</v>
      </c>
    </row>
    <row r="8" spans="1:39" s="54" customFormat="1" x14ac:dyDescent="0.25">
      <c r="A8" s="53">
        <v>1</v>
      </c>
      <c r="B8" s="53">
        <v>2</v>
      </c>
      <c r="C8" s="53">
        <v>3</v>
      </c>
      <c r="D8" s="53">
        <v>4</v>
      </c>
      <c r="E8" s="53">
        <v>5</v>
      </c>
      <c r="F8" s="53">
        <v>6</v>
      </c>
      <c r="G8" s="53">
        <v>7</v>
      </c>
      <c r="H8" s="53">
        <v>8</v>
      </c>
      <c r="I8" s="53">
        <v>9</v>
      </c>
      <c r="J8" s="53">
        <v>10</v>
      </c>
      <c r="K8" s="53">
        <v>11</v>
      </c>
      <c r="L8" s="53">
        <v>12</v>
      </c>
      <c r="M8" s="53">
        <v>13</v>
      </c>
      <c r="N8" s="53">
        <v>14</v>
      </c>
      <c r="O8" s="53">
        <v>15</v>
      </c>
      <c r="P8" s="53">
        <v>16</v>
      </c>
      <c r="Q8" s="53">
        <v>17</v>
      </c>
      <c r="R8" s="53">
        <v>18</v>
      </c>
      <c r="S8" s="53">
        <v>19</v>
      </c>
      <c r="T8" s="53">
        <v>20</v>
      </c>
      <c r="U8" s="53">
        <v>21</v>
      </c>
      <c r="V8" s="53">
        <v>22</v>
      </c>
      <c r="W8" s="53">
        <v>23</v>
      </c>
      <c r="X8" s="53">
        <v>24</v>
      </c>
      <c r="Y8" s="53">
        <v>25</v>
      </c>
      <c r="Z8" s="53">
        <v>26</v>
      </c>
      <c r="AA8" s="53">
        <v>27</v>
      </c>
      <c r="AB8" s="53">
        <v>28</v>
      </c>
      <c r="AC8" s="53">
        <v>29</v>
      </c>
      <c r="AD8" s="53">
        <v>30</v>
      </c>
      <c r="AE8" s="53">
        <v>31</v>
      </c>
      <c r="AF8" s="53">
        <v>32</v>
      </c>
      <c r="AG8" s="53">
        <v>33</v>
      </c>
      <c r="AH8" s="53">
        <v>34</v>
      </c>
      <c r="AI8" s="53">
        <v>35</v>
      </c>
      <c r="AJ8" s="53">
        <v>36</v>
      </c>
      <c r="AK8" s="53">
        <v>37</v>
      </c>
      <c r="AL8" s="53">
        <v>38</v>
      </c>
      <c r="AM8" s="53">
        <v>39</v>
      </c>
    </row>
    <row r="9" spans="1:39" s="54" customFormat="1" ht="47.25" customHeight="1" x14ac:dyDescent="0.25">
      <c r="A9" s="55"/>
      <c r="B9" s="194" t="s">
        <v>158</v>
      </c>
      <c r="C9" s="194"/>
      <c r="D9" s="194"/>
      <c r="E9" s="56">
        <f t="shared" ref="E9:W9" si="0">E10+E30+E44+E47+E52+E60</f>
        <v>1462909.7</v>
      </c>
      <c r="F9" s="56">
        <f t="shared" si="0"/>
        <v>0</v>
      </c>
      <c r="G9" s="56">
        <f t="shared" si="0"/>
        <v>0</v>
      </c>
      <c r="H9" s="56">
        <f t="shared" si="0"/>
        <v>1462909.7</v>
      </c>
      <c r="I9" s="56">
        <f t="shared" si="0"/>
        <v>0</v>
      </c>
      <c r="J9" s="56">
        <f t="shared" si="0"/>
        <v>246073.60000000003</v>
      </c>
      <c r="K9" s="56">
        <f t="shared" si="0"/>
        <v>0</v>
      </c>
      <c r="L9" s="56">
        <f t="shared" si="0"/>
        <v>0</v>
      </c>
      <c r="M9" s="56">
        <f t="shared" si="0"/>
        <v>246073.60000000003</v>
      </c>
      <c r="N9" s="56">
        <f t="shared" si="0"/>
        <v>0</v>
      </c>
      <c r="O9" s="56">
        <f t="shared" si="0"/>
        <v>263667.09999999998</v>
      </c>
      <c r="P9" s="56">
        <f t="shared" si="0"/>
        <v>0</v>
      </c>
      <c r="Q9" s="56">
        <f t="shared" si="0"/>
        <v>0</v>
      </c>
      <c r="R9" s="56">
        <f t="shared" si="0"/>
        <v>263667.09999999998</v>
      </c>
      <c r="S9" s="56">
        <f t="shared" si="0"/>
        <v>0</v>
      </c>
      <c r="T9" s="56">
        <f t="shared" si="0"/>
        <v>241059.3</v>
      </c>
      <c r="U9" s="56">
        <f t="shared" si="0"/>
        <v>0</v>
      </c>
      <c r="V9" s="56">
        <f t="shared" si="0"/>
        <v>0</v>
      </c>
      <c r="W9" s="56">
        <f t="shared" si="0"/>
        <v>241059.3</v>
      </c>
      <c r="X9" s="56">
        <f>X10+X30+X44+X47+X52</f>
        <v>0</v>
      </c>
      <c r="Y9" s="56">
        <f>Y10+Y30+Y44+Y47+Y52+Y60</f>
        <v>237784.7</v>
      </c>
      <c r="Z9" s="56">
        <f>Z10+Z30+Z44+Z47+Z52+Z60</f>
        <v>0</v>
      </c>
      <c r="AA9" s="56">
        <f>AA10+AA30+AA44+AA47+AA52+AA60</f>
        <v>0</v>
      </c>
      <c r="AB9" s="56">
        <f>AB10+AB30+AB44+AB47+AB52+AB60</f>
        <v>237784.7</v>
      </c>
      <c r="AC9" s="56">
        <f>AC10+AC30+AC44+AC47+AC52</f>
        <v>0</v>
      </c>
      <c r="AD9" s="56">
        <f>AD10+AD30+AD44+AD47+AD52+AD60</f>
        <v>237162.5</v>
      </c>
      <c r="AE9" s="56">
        <f>AE10+AE30+AE44+AE47+AE52+AE60</f>
        <v>0</v>
      </c>
      <c r="AF9" s="56">
        <f>AF10+AF30+AF44+AF47+AF52+AF60</f>
        <v>0</v>
      </c>
      <c r="AG9" s="56">
        <f>AG10+AG30+AG44+AG47+AG52+AG60</f>
        <v>237162.5</v>
      </c>
      <c r="AH9" s="56">
        <f>AH10+AH30+AH44+AH47+AH52</f>
        <v>0</v>
      </c>
      <c r="AI9" s="56">
        <f>AI10+AI30+AI44+AI47+AI52+AI60</f>
        <v>237162.5</v>
      </c>
      <c r="AJ9" s="56">
        <f>AJ10+AJ30+AJ44+AJ47+AJ52+AJ60</f>
        <v>0</v>
      </c>
      <c r="AK9" s="56">
        <f>AK10+AK30+AK44+AK47+AK52+AK60</f>
        <v>0</v>
      </c>
      <c r="AL9" s="56">
        <f>AL10+AL30+AL44+AL47+AL52+AL60</f>
        <v>237162.5</v>
      </c>
      <c r="AM9" s="56">
        <f>AM10+AM30+AM44+AM47+AM52</f>
        <v>0</v>
      </c>
    </row>
    <row r="10" spans="1:39" s="54" customFormat="1" ht="47.25" customHeight="1" outlineLevel="1" x14ac:dyDescent="0.25">
      <c r="A10" s="57">
        <v>1</v>
      </c>
      <c r="B10" s="195" t="s">
        <v>5</v>
      </c>
      <c r="C10" s="195"/>
      <c r="D10" s="195"/>
      <c r="E10" s="58">
        <f>E11+E15+E20+E25</f>
        <v>549380.4</v>
      </c>
      <c r="F10" s="58">
        <f t="shared" ref="F10:W10" si="1">F11+F15+F20+F25</f>
        <v>0</v>
      </c>
      <c r="G10" s="58">
        <f t="shared" si="1"/>
        <v>0</v>
      </c>
      <c r="H10" s="58">
        <f t="shared" si="1"/>
        <v>549380.4</v>
      </c>
      <c r="I10" s="58">
        <f t="shared" si="1"/>
        <v>0</v>
      </c>
      <c r="J10" s="58">
        <f t="shared" si="1"/>
        <v>100018.40000000001</v>
      </c>
      <c r="K10" s="58">
        <f t="shared" si="1"/>
        <v>0</v>
      </c>
      <c r="L10" s="58">
        <f t="shared" si="1"/>
        <v>0</v>
      </c>
      <c r="M10" s="58">
        <f t="shared" si="1"/>
        <v>100018.40000000001</v>
      </c>
      <c r="N10" s="58">
        <f t="shared" si="1"/>
        <v>0</v>
      </c>
      <c r="O10" s="58">
        <f t="shared" si="1"/>
        <v>91057.200000000012</v>
      </c>
      <c r="P10" s="58">
        <f t="shared" si="1"/>
        <v>0</v>
      </c>
      <c r="Q10" s="58">
        <f t="shared" si="1"/>
        <v>0</v>
      </c>
      <c r="R10" s="58">
        <f t="shared" si="1"/>
        <v>91057.200000000012</v>
      </c>
      <c r="S10" s="58">
        <f t="shared" si="1"/>
        <v>0</v>
      </c>
      <c r="T10" s="58">
        <f t="shared" si="1"/>
        <v>89441.099999999991</v>
      </c>
      <c r="U10" s="58">
        <f t="shared" si="1"/>
        <v>0</v>
      </c>
      <c r="V10" s="58">
        <f t="shared" si="1"/>
        <v>0</v>
      </c>
      <c r="W10" s="58">
        <f t="shared" si="1"/>
        <v>89441.099999999991</v>
      </c>
      <c r="X10" s="58">
        <f>X11+X15+X20+X25</f>
        <v>0</v>
      </c>
      <c r="Y10" s="58">
        <f t="shared" ref="Y10:AB10" si="2">Y11+Y15+Y20+Y25</f>
        <v>89676.300000000017</v>
      </c>
      <c r="Z10" s="58">
        <f t="shared" si="2"/>
        <v>0</v>
      </c>
      <c r="AA10" s="58">
        <f t="shared" si="2"/>
        <v>0</v>
      </c>
      <c r="AB10" s="58">
        <f t="shared" si="2"/>
        <v>89676.300000000017</v>
      </c>
      <c r="AC10" s="58">
        <f>AC11+AC15+AC20+AC25</f>
        <v>0</v>
      </c>
      <c r="AD10" s="58">
        <f t="shared" ref="AD10:AG10" si="3">AD11+AD15+AD20+AD25</f>
        <v>89593.700000000012</v>
      </c>
      <c r="AE10" s="58">
        <f t="shared" si="3"/>
        <v>0</v>
      </c>
      <c r="AF10" s="58">
        <f t="shared" si="3"/>
        <v>0</v>
      </c>
      <c r="AG10" s="58">
        <f t="shared" si="3"/>
        <v>89593.700000000012</v>
      </c>
      <c r="AH10" s="58">
        <f>AH11+AH15+AH20+AH25</f>
        <v>0</v>
      </c>
      <c r="AI10" s="58">
        <f t="shared" ref="AI10:AL10" si="4">AI11+AI15+AI20+AI25</f>
        <v>89593.700000000012</v>
      </c>
      <c r="AJ10" s="58">
        <f t="shared" si="4"/>
        <v>0</v>
      </c>
      <c r="AK10" s="58">
        <f t="shared" si="4"/>
        <v>0</v>
      </c>
      <c r="AL10" s="58">
        <f t="shared" si="4"/>
        <v>89593.700000000012</v>
      </c>
      <c r="AM10" s="58">
        <f>AM11+AM15+AM20+AM25</f>
        <v>0</v>
      </c>
    </row>
    <row r="11" spans="1:39" s="54" customFormat="1" ht="47.25" customHeight="1" outlineLevel="2" x14ac:dyDescent="0.25">
      <c r="A11" s="59" t="s">
        <v>21</v>
      </c>
      <c r="B11" s="174" t="s">
        <v>15</v>
      </c>
      <c r="C11" s="174"/>
      <c r="D11" s="174"/>
      <c r="E11" s="60">
        <f>SUM(E12:E14)</f>
        <v>452422.5</v>
      </c>
      <c r="F11" s="60">
        <f t="shared" ref="F11:AM11" si="5">SUM(F12:F14)</f>
        <v>0</v>
      </c>
      <c r="G11" s="60">
        <f t="shared" si="5"/>
        <v>0</v>
      </c>
      <c r="H11" s="60">
        <f t="shared" si="5"/>
        <v>452422.5</v>
      </c>
      <c r="I11" s="60">
        <f t="shared" si="5"/>
        <v>0</v>
      </c>
      <c r="J11" s="60">
        <f t="shared" si="5"/>
        <v>83282.700000000012</v>
      </c>
      <c r="K11" s="60">
        <f t="shared" si="5"/>
        <v>0</v>
      </c>
      <c r="L11" s="60">
        <f t="shared" si="5"/>
        <v>0</v>
      </c>
      <c r="M11" s="60">
        <f t="shared" si="5"/>
        <v>83282.700000000012</v>
      </c>
      <c r="N11" s="60">
        <f t="shared" si="5"/>
        <v>0</v>
      </c>
      <c r="O11" s="60">
        <f t="shared" si="5"/>
        <v>74515</v>
      </c>
      <c r="P11" s="60">
        <f t="shared" si="5"/>
        <v>0</v>
      </c>
      <c r="Q11" s="60">
        <f t="shared" si="5"/>
        <v>0</v>
      </c>
      <c r="R11" s="60">
        <f t="shared" si="5"/>
        <v>74515</v>
      </c>
      <c r="S11" s="60">
        <f t="shared" si="5"/>
        <v>0</v>
      </c>
      <c r="T11" s="60">
        <f t="shared" si="5"/>
        <v>73559</v>
      </c>
      <c r="U11" s="60">
        <f t="shared" si="5"/>
        <v>0</v>
      </c>
      <c r="V11" s="60">
        <f t="shared" si="5"/>
        <v>0</v>
      </c>
      <c r="W11" s="60">
        <f t="shared" si="5"/>
        <v>73559</v>
      </c>
      <c r="X11" s="60">
        <f t="shared" si="5"/>
        <v>0</v>
      </c>
      <c r="Y11" s="60">
        <f t="shared" si="5"/>
        <v>73688.600000000006</v>
      </c>
      <c r="Z11" s="60">
        <f t="shared" si="5"/>
        <v>0</v>
      </c>
      <c r="AA11" s="60">
        <f t="shared" si="5"/>
        <v>0</v>
      </c>
      <c r="AB11" s="60">
        <f t="shared" si="5"/>
        <v>73688.600000000006</v>
      </c>
      <c r="AC11" s="60">
        <f t="shared" si="5"/>
        <v>0</v>
      </c>
      <c r="AD11" s="60">
        <f t="shared" si="5"/>
        <v>73688.600000000006</v>
      </c>
      <c r="AE11" s="60">
        <f t="shared" si="5"/>
        <v>0</v>
      </c>
      <c r="AF11" s="60">
        <f t="shared" si="5"/>
        <v>0</v>
      </c>
      <c r="AG11" s="60">
        <f t="shared" si="5"/>
        <v>73688.600000000006</v>
      </c>
      <c r="AH11" s="60">
        <f t="shared" si="5"/>
        <v>0</v>
      </c>
      <c r="AI11" s="60">
        <f t="shared" si="5"/>
        <v>73688.600000000006</v>
      </c>
      <c r="AJ11" s="60">
        <f t="shared" si="5"/>
        <v>0</v>
      </c>
      <c r="AK11" s="60">
        <f t="shared" si="5"/>
        <v>0</v>
      </c>
      <c r="AL11" s="60">
        <f t="shared" si="5"/>
        <v>73688.600000000006</v>
      </c>
      <c r="AM11" s="60">
        <f t="shared" si="5"/>
        <v>0</v>
      </c>
    </row>
    <row r="12" spans="1:39" ht="65.25" customHeight="1" outlineLevel="3" x14ac:dyDescent="0.25">
      <c r="A12" s="61" t="s">
        <v>38</v>
      </c>
      <c r="B12" s="2" t="s">
        <v>66</v>
      </c>
      <c r="C12" s="5" t="s">
        <v>66</v>
      </c>
      <c r="D12" s="5" t="s">
        <v>66</v>
      </c>
      <c r="E12" s="18">
        <f t="shared" ref="E12:E14" si="6">SUM(F12:I12)</f>
        <v>354152.3</v>
      </c>
      <c r="F12" s="3">
        <f t="shared" ref="F12:G14" si="7">K12+P12+U12</f>
        <v>0</v>
      </c>
      <c r="G12" s="3">
        <f t="shared" si="7"/>
        <v>0</v>
      </c>
      <c r="H12" s="3">
        <f>M12+R12+W12+AB12+AG12+AL12</f>
        <v>354152.3</v>
      </c>
      <c r="I12" s="3">
        <f t="shared" ref="I12:I14" si="8">N12+S12+X12</f>
        <v>0</v>
      </c>
      <c r="J12" s="62">
        <f t="shared" ref="J12:J14" si="9">SUM(K12:N12)</f>
        <v>54463.9</v>
      </c>
      <c r="K12" s="63"/>
      <c r="L12" s="63"/>
      <c r="M12" s="63">
        <v>54463.9</v>
      </c>
      <c r="N12" s="63"/>
      <c r="O12" s="62">
        <f t="shared" ref="O12:O14" si="10">SUM(P12:S12)</f>
        <v>60624.5</v>
      </c>
      <c r="P12" s="63"/>
      <c r="Q12" s="63"/>
      <c r="R12" s="63">
        <f>60077.3+534.8+41.7-2.8-26.5</f>
        <v>60624.5</v>
      </c>
      <c r="S12" s="63"/>
      <c r="T12" s="62">
        <f t="shared" ref="T12:T14" si="11">SUM(U12:X12)</f>
        <v>59734.7</v>
      </c>
      <c r="U12" s="63"/>
      <c r="V12" s="63"/>
      <c r="W12" s="63">
        <v>59734.7</v>
      </c>
      <c r="X12" s="63"/>
      <c r="Y12" s="62">
        <f t="shared" ref="Y12" si="12">SUM(Z12:AC12)</f>
        <v>59776.4</v>
      </c>
      <c r="Z12" s="63"/>
      <c r="AA12" s="63"/>
      <c r="AB12" s="63">
        <v>59776.4</v>
      </c>
      <c r="AC12" s="63"/>
      <c r="AD12" s="62">
        <f t="shared" ref="AD12" si="13">SUM(AE12:AH12)</f>
        <v>59776.4</v>
      </c>
      <c r="AE12" s="63"/>
      <c r="AF12" s="63"/>
      <c r="AG12" s="63">
        <v>59776.4</v>
      </c>
      <c r="AH12" s="63"/>
      <c r="AI12" s="62">
        <f t="shared" ref="AI12" si="14">SUM(AJ12:AM12)</f>
        <v>59776.4</v>
      </c>
      <c r="AJ12" s="63"/>
      <c r="AK12" s="63"/>
      <c r="AL12" s="63">
        <v>59776.4</v>
      </c>
      <c r="AM12" s="64"/>
    </row>
    <row r="13" spans="1:39" ht="59.25" customHeight="1" outlineLevel="3" x14ac:dyDescent="0.25">
      <c r="A13" s="61" t="s">
        <v>39</v>
      </c>
      <c r="B13" s="2" t="s">
        <v>10</v>
      </c>
      <c r="C13" s="5" t="s">
        <v>10</v>
      </c>
      <c r="D13" s="5" t="s">
        <v>10</v>
      </c>
      <c r="E13" s="18">
        <f t="shared" ref="E13" si="15">SUM(F13:I13)</f>
        <v>79514.299999999988</v>
      </c>
      <c r="F13" s="3">
        <f t="shared" si="7"/>
        <v>0</v>
      </c>
      <c r="G13" s="3">
        <f t="shared" si="7"/>
        <v>0</v>
      </c>
      <c r="H13" s="3">
        <f t="shared" ref="H13:H14" si="16">M13+R13+W13+AB13+AG13+AL13</f>
        <v>79514.299999999988</v>
      </c>
      <c r="I13" s="3">
        <f t="shared" si="8"/>
        <v>0</v>
      </c>
      <c r="J13" s="62">
        <f t="shared" si="9"/>
        <v>10062.9</v>
      </c>
      <c r="K13" s="63"/>
      <c r="L13" s="63"/>
      <c r="M13" s="63">
        <f>9998.9+64</f>
        <v>10062.9</v>
      </c>
      <c r="N13" s="63"/>
      <c r="O13" s="62">
        <f t="shared" si="10"/>
        <v>13890.5</v>
      </c>
      <c r="P13" s="63"/>
      <c r="Q13" s="63"/>
      <c r="R13" s="63">
        <v>13890.5</v>
      </c>
      <c r="S13" s="63"/>
      <c r="T13" s="62">
        <f t="shared" ref="T13" si="17">SUM(U13:X13)</f>
        <v>13824.3</v>
      </c>
      <c r="U13" s="63"/>
      <c r="V13" s="63"/>
      <c r="W13" s="63">
        <v>13824.3</v>
      </c>
      <c r="X13" s="63"/>
      <c r="Y13" s="62">
        <f t="shared" ref="Y13" si="18">SUM(Z13:AC13)</f>
        <v>13912.2</v>
      </c>
      <c r="Z13" s="63"/>
      <c r="AA13" s="63"/>
      <c r="AB13" s="63">
        <v>13912.2</v>
      </c>
      <c r="AC13" s="63"/>
      <c r="AD13" s="62">
        <f t="shared" ref="AD13" si="19">SUM(AE13:AH13)</f>
        <v>13912.2</v>
      </c>
      <c r="AE13" s="63"/>
      <c r="AF13" s="63"/>
      <c r="AG13" s="63">
        <v>13912.2</v>
      </c>
      <c r="AH13" s="63"/>
      <c r="AI13" s="62">
        <f t="shared" ref="AI13" si="20">SUM(AJ13:AM13)</f>
        <v>13912.2</v>
      </c>
      <c r="AJ13" s="63"/>
      <c r="AK13" s="63"/>
      <c r="AL13" s="63">
        <v>13912.2</v>
      </c>
      <c r="AM13" s="64"/>
    </row>
    <row r="14" spans="1:39" ht="64.5" customHeight="1" outlineLevel="3" x14ac:dyDescent="0.25">
      <c r="A14" s="61" t="s">
        <v>40</v>
      </c>
      <c r="B14" s="2" t="s">
        <v>68</v>
      </c>
      <c r="C14" s="6" t="s">
        <v>68</v>
      </c>
      <c r="D14" s="6" t="s">
        <v>68</v>
      </c>
      <c r="E14" s="18">
        <f t="shared" si="6"/>
        <v>18755.900000000001</v>
      </c>
      <c r="F14" s="3">
        <f t="shared" si="7"/>
        <v>0</v>
      </c>
      <c r="G14" s="3">
        <f t="shared" si="7"/>
        <v>0</v>
      </c>
      <c r="H14" s="3">
        <f t="shared" si="16"/>
        <v>18755.900000000001</v>
      </c>
      <c r="I14" s="3">
        <f t="shared" si="8"/>
        <v>0</v>
      </c>
      <c r="J14" s="62">
        <f t="shared" si="9"/>
        <v>18755.900000000001</v>
      </c>
      <c r="K14" s="63"/>
      <c r="L14" s="63"/>
      <c r="M14" s="63">
        <f>22345.7+138.7-3728.5</f>
        <v>18755.900000000001</v>
      </c>
      <c r="N14" s="63"/>
      <c r="O14" s="62">
        <f t="shared" si="10"/>
        <v>0</v>
      </c>
      <c r="P14" s="63"/>
      <c r="Q14" s="63"/>
      <c r="R14" s="63">
        <v>0</v>
      </c>
      <c r="S14" s="63"/>
      <c r="T14" s="62">
        <f t="shared" si="11"/>
        <v>0</v>
      </c>
      <c r="U14" s="64"/>
      <c r="V14" s="64"/>
      <c r="W14" s="64">
        <v>0</v>
      </c>
      <c r="X14" s="64"/>
      <c r="Y14" s="62">
        <f t="shared" ref="Y14" si="21">SUM(Z14:AC14)</f>
        <v>0</v>
      </c>
      <c r="Z14" s="64"/>
      <c r="AA14" s="64"/>
      <c r="AB14" s="64">
        <v>0</v>
      </c>
      <c r="AC14" s="64"/>
      <c r="AD14" s="62">
        <f t="shared" ref="AD14" si="22">SUM(AE14:AH14)</f>
        <v>0</v>
      </c>
      <c r="AE14" s="64"/>
      <c r="AF14" s="64"/>
      <c r="AG14" s="64">
        <v>0</v>
      </c>
      <c r="AH14" s="64"/>
      <c r="AI14" s="62">
        <f t="shared" ref="AI14" si="23">SUM(AJ14:AM14)</f>
        <v>0</v>
      </c>
      <c r="AJ14" s="64"/>
      <c r="AK14" s="64"/>
      <c r="AL14" s="64">
        <v>0</v>
      </c>
      <c r="AM14" s="64"/>
    </row>
    <row r="15" spans="1:39" s="54" customFormat="1" ht="47.25" customHeight="1" outlineLevel="2" x14ac:dyDescent="0.25">
      <c r="A15" s="59" t="s">
        <v>22</v>
      </c>
      <c r="B15" s="174" t="s">
        <v>16</v>
      </c>
      <c r="C15" s="174"/>
      <c r="D15" s="174"/>
      <c r="E15" s="60">
        <f>SUM(E16:E19)</f>
        <v>1504.8</v>
      </c>
      <c r="F15" s="60">
        <f t="shared" ref="F15:AM15" si="24">SUM(F16:F19)</f>
        <v>0</v>
      </c>
      <c r="G15" s="60">
        <f t="shared" si="24"/>
        <v>0</v>
      </c>
      <c r="H15" s="60">
        <f t="shared" si="24"/>
        <v>1504.8</v>
      </c>
      <c r="I15" s="60">
        <f t="shared" si="24"/>
        <v>0</v>
      </c>
      <c r="J15" s="60">
        <f t="shared" si="24"/>
        <v>256.70000000000005</v>
      </c>
      <c r="K15" s="60">
        <f t="shared" si="24"/>
        <v>0</v>
      </c>
      <c r="L15" s="60">
        <f t="shared" si="24"/>
        <v>0</v>
      </c>
      <c r="M15" s="60">
        <f t="shared" si="24"/>
        <v>256.70000000000005</v>
      </c>
      <c r="N15" s="60">
        <f t="shared" si="24"/>
        <v>0</v>
      </c>
      <c r="O15" s="60">
        <f t="shared" si="24"/>
        <v>226.10000000000002</v>
      </c>
      <c r="P15" s="60">
        <f t="shared" si="24"/>
        <v>0</v>
      </c>
      <c r="Q15" s="60">
        <f t="shared" si="24"/>
        <v>0</v>
      </c>
      <c r="R15" s="60">
        <f t="shared" si="24"/>
        <v>226.10000000000002</v>
      </c>
      <c r="S15" s="60">
        <f t="shared" si="24"/>
        <v>0</v>
      </c>
      <c r="T15" s="60">
        <f t="shared" si="24"/>
        <v>249.2</v>
      </c>
      <c r="U15" s="60">
        <f t="shared" si="24"/>
        <v>0</v>
      </c>
      <c r="V15" s="60">
        <f t="shared" si="24"/>
        <v>0</v>
      </c>
      <c r="W15" s="60">
        <f t="shared" si="24"/>
        <v>249.2</v>
      </c>
      <c r="X15" s="60">
        <f t="shared" si="24"/>
        <v>0</v>
      </c>
      <c r="Y15" s="60">
        <f t="shared" si="24"/>
        <v>257.60000000000002</v>
      </c>
      <c r="Z15" s="60">
        <f t="shared" si="24"/>
        <v>0</v>
      </c>
      <c r="AA15" s="60">
        <f t="shared" si="24"/>
        <v>0</v>
      </c>
      <c r="AB15" s="60">
        <f t="shared" si="24"/>
        <v>257.60000000000002</v>
      </c>
      <c r="AC15" s="60">
        <f t="shared" si="24"/>
        <v>0</v>
      </c>
      <c r="AD15" s="60">
        <f t="shared" si="24"/>
        <v>257.60000000000002</v>
      </c>
      <c r="AE15" s="60">
        <f t="shared" si="24"/>
        <v>0</v>
      </c>
      <c r="AF15" s="60">
        <f t="shared" si="24"/>
        <v>0</v>
      </c>
      <c r="AG15" s="60">
        <f t="shared" si="24"/>
        <v>257.60000000000002</v>
      </c>
      <c r="AH15" s="60">
        <f t="shared" si="24"/>
        <v>0</v>
      </c>
      <c r="AI15" s="60">
        <f t="shared" si="24"/>
        <v>257.60000000000002</v>
      </c>
      <c r="AJ15" s="60">
        <f t="shared" si="24"/>
        <v>0</v>
      </c>
      <c r="AK15" s="60">
        <f t="shared" si="24"/>
        <v>0</v>
      </c>
      <c r="AL15" s="60">
        <f t="shared" si="24"/>
        <v>257.60000000000002</v>
      </c>
      <c r="AM15" s="60">
        <f t="shared" si="24"/>
        <v>0</v>
      </c>
    </row>
    <row r="16" spans="1:39" ht="47.25" customHeight="1" outlineLevel="3" x14ac:dyDescent="0.25">
      <c r="A16" s="61" t="s">
        <v>41</v>
      </c>
      <c r="B16" s="2" t="s">
        <v>66</v>
      </c>
      <c r="C16" s="5" t="s">
        <v>66</v>
      </c>
      <c r="D16" s="5" t="s">
        <v>66</v>
      </c>
      <c r="E16" s="18">
        <f t="shared" ref="E16:E19" si="25">SUM(F16:I16)</f>
        <v>769.9</v>
      </c>
      <c r="F16" s="3">
        <f t="shared" ref="F16:G19" si="26">K16+P16+U16</f>
        <v>0</v>
      </c>
      <c r="G16" s="3">
        <f t="shared" si="26"/>
        <v>0</v>
      </c>
      <c r="H16" s="3">
        <f>M16+R16+W16+AB16+AG16+AL16</f>
        <v>769.9</v>
      </c>
      <c r="I16" s="3">
        <f t="shared" ref="I16:I19" si="27">N16+S16+X16</f>
        <v>0</v>
      </c>
      <c r="J16" s="62">
        <f t="shared" ref="J16:J19" si="28">SUM(K16:N16)</f>
        <v>101.5</v>
      </c>
      <c r="K16" s="63"/>
      <c r="L16" s="63"/>
      <c r="M16" s="63">
        <v>101.5</v>
      </c>
      <c r="N16" s="63"/>
      <c r="O16" s="62">
        <f t="shared" ref="O16:O19" si="29">SUM(P16:S16)</f>
        <v>114.20000000000002</v>
      </c>
      <c r="P16" s="63"/>
      <c r="Q16" s="63"/>
      <c r="R16" s="63">
        <f>128.8-14.6</f>
        <v>114.20000000000002</v>
      </c>
      <c r="S16" s="63"/>
      <c r="T16" s="62">
        <f t="shared" ref="T16:T19" si="30">SUM(U16:X16)</f>
        <v>134.5</v>
      </c>
      <c r="U16" s="63"/>
      <c r="V16" s="63"/>
      <c r="W16" s="63">
        <v>134.5</v>
      </c>
      <c r="X16" s="63"/>
      <c r="Y16" s="62">
        <f t="shared" ref="Y16:Y19" si="31">SUM(Z16:AC16)</f>
        <v>139.9</v>
      </c>
      <c r="Z16" s="63"/>
      <c r="AA16" s="63"/>
      <c r="AB16" s="63">
        <v>139.9</v>
      </c>
      <c r="AC16" s="63"/>
      <c r="AD16" s="62">
        <f t="shared" ref="AD16:AD19" si="32">SUM(AE16:AH16)</f>
        <v>139.9</v>
      </c>
      <c r="AE16" s="63"/>
      <c r="AF16" s="63"/>
      <c r="AG16" s="63">
        <v>139.9</v>
      </c>
      <c r="AH16" s="63"/>
      <c r="AI16" s="62">
        <f t="shared" ref="AI16:AI19" si="33">SUM(AJ16:AM16)</f>
        <v>139.9</v>
      </c>
      <c r="AJ16" s="63"/>
      <c r="AK16" s="63"/>
      <c r="AL16" s="63">
        <v>139.9</v>
      </c>
      <c r="AM16" s="64"/>
    </row>
    <row r="17" spans="1:39" ht="47.25" customHeight="1" outlineLevel="3" x14ac:dyDescent="0.25">
      <c r="A17" s="61" t="s">
        <v>42</v>
      </c>
      <c r="B17" s="2" t="s">
        <v>10</v>
      </c>
      <c r="C17" s="5" t="s">
        <v>10</v>
      </c>
      <c r="D17" s="5" t="s">
        <v>10</v>
      </c>
      <c r="E17" s="18">
        <f t="shared" ref="E17" si="34">SUM(F17:I17)</f>
        <v>232.6</v>
      </c>
      <c r="F17" s="3">
        <f t="shared" si="26"/>
        <v>0</v>
      </c>
      <c r="G17" s="3">
        <f t="shared" si="26"/>
        <v>0</v>
      </c>
      <c r="H17" s="3">
        <f t="shared" ref="H17:H19" si="35">M17+R17+W17+AB17+AG17+AL17</f>
        <v>232.6</v>
      </c>
      <c r="I17" s="3">
        <f t="shared" si="27"/>
        <v>0</v>
      </c>
      <c r="J17" s="62">
        <f t="shared" si="28"/>
        <v>27.6</v>
      </c>
      <c r="K17" s="63"/>
      <c r="L17" s="63"/>
      <c r="M17" s="63">
        <v>27.6</v>
      </c>
      <c r="N17" s="63"/>
      <c r="O17" s="62">
        <f t="shared" si="29"/>
        <v>41</v>
      </c>
      <c r="P17" s="63"/>
      <c r="Q17" s="63"/>
      <c r="R17" s="63">
        <v>41</v>
      </c>
      <c r="S17" s="63"/>
      <c r="T17" s="62">
        <f t="shared" si="30"/>
        <v>41</v>
      </c>
      <c r="U17" s="63"/>
      <c r="V17" s="63"/>
      <c r="W17" s="63">
        <v>41</v>
      </c>
      <c r="X17" s="63"/>
      <c r="Y17" s="62">
        <f t="shared" si="31"/>
        <v>41</v>
      </c>
      <c r="Z17" s="63"/>
      <c r="AA17" s="63"/>
      <c r="AB17" s="63">
        <v>41</v>
      </c>
      <c r="AC17" s="63"/>
      <c r="AD17" s="62">
        <f t="shared" si="32"/>
        <v>41</v>
      </c>
      <c r="AE17" s="63"/>
      <c r="AF17" s="63"/>
      <c r="AG17" s="63">
        <v>41</v>
      </c>
      <c r="AH17" s="63"/>
      <c r="AI17" s="62">
        <f t="shared" si="33"/>
        <v>41</v>
      </c>
      <c r="AJ17" s="63"/>
      <c r="AK17" s="63"/>
      <c r="AL17" s="63">
        <v>41</v>
      </c>
      <c r="AM17" s="64"/>
    </row>
    <row r="18" spans="1:39" ht="47.25" customHeight="1" outlineLevel="3" x14ac:dyDescent="0.25">
      <c r="A18" s="61" t="s">
        <v>43</v>
      </c>
      <c r="B18" s="2" t="s">
        <v>68</v>
      </c>
      <c r="C18" s="6" t="s">
        <v>68</v>
      </c>
      <c r="D18" s="6" t="s">
        <v>68</v>
      </c>
      <c r="E18" s="18">
        <f t="shared" si="25"/>
        <v>46.2</v>
      </c>
      <c r="F18" s="3">
        <f t="shared" si="26"/>
        <v>0</v>
      </c>
      <c r="G18" s="3">
        <f t="shared" si="26"/>
        <v>0</v>
      </c>
      <c r="H18" s="3">
        <f t="shared" si="35"/>
        <v>46.2</v>
      </c>
      <c r="I18" s="3">
        <f t="shared" si="27"/>
        <v>0</v>
      </c>
      <c r="J18" s="62">
        <f t="shared" si="28"/>
        <v>46.2</v>
      </c>
      <c r="K18" s="63"/>
      <c r="L18" s="63"/>
      <c r="M18" s="63">
        <f>46.2</f>
        <v>46.2</v>
      </c>
      <c r="N18" s="63"/>
      <c r="O18" s="62">
        <f t="shared" si="29"/>
        <v>0</v>
      </c>
      <c r="P18" s="63"/>
      <c r="Q18" s="63"/>
      <c r="R18" s="63">
        <v>0</v>
      </c>
      <c r="S18" s="63"/>
      <c r="T18" s="62">
        <f t="shared" si="30"/>
        <v>0</v>
      </c>
      <c r="U18" s="63"/>
      <c r="V18" s="63"/>
      <c r="W18" s="63">
        <v>0</v>
      </c>
      <c r="X18" s="63"/>
      <c r="Y18" s="62">
        <f t="shared" si="31"/>
        <v>0</v>
      </c>
      <c r="Z18" s="63"/>
      <c r="AA18" s="63"/>
      <c r="AB18" s="63">
        <v>0</v>
      </c>
      <c r="AC18" s="63"/>
      <c r="AD18" s="62">
        <f t="shared" si="32"/>
        <v>0</v>
      </c>
      <c r="AE18" s="63"/>
      <c r="AF18" s="63"/>
      <c r="AG18" s="63">
        <v>0</v>
      </c>
      <c r="AH18" s="63"/>
      <c r="AI18" s="62">
        <f t="shared" si="33"/>
        <v>0</v>
      </c>
      <c r="AJ18" s="63"/>
      <c r="AK18" s="63"/>
      <c r="AL18" s="63">
        <v>0</v>
      </c>
      <c r="AM18" s="64"/>
    </row>
    <row r="19" spans="1:39" ht="47.25" customHeight="1" outlineLevel="3" x14ac:dyDescent="0.25">
      <c r="A19" s="61" t="s">
        <v>44</v>
      </c>
      <c r="B19" s="2" t="s">
        <v>67</v>
      </c>
      <c r="C19" s="6" t="s">
        <v>67</v>
      </c>
      <c r="D19" s="6" t="s">
        <v>67</v>
      </c>
      <c r="E19" s="18">
        <f t="shared" si="25"/>
        <v>456.09999999999997</v>
      </c>
      <c r="F19" s="3">
        <f t="shared" si="26"/>
        <v>0</v>
      </c>
      <c r="G19" s="3">
        <f t="shared" si="26"/>
        <v>0</v>
      </c>
      <c r="H19" s="3">
        <f t="shared" si="35"/>
        <v>456.09999999999997</v>
      </c>
      <c r="I19" s="3">
        <f t="shared" si="27"/>
        <v>0</v>
      </c>
      <c r="J19" s="62">
        <f t="shared" si="28"/>
        <v>81.400000000000006</v>
      </c>
      <c r="K19" s="63"/>
      <c r="L19" s="63"/>
      <c r="M19" s="63">
        <v>81.400000000000006</v>
      </c>
      <c r="N19" s="63"/>
      <c r="O19" s="62">
        <f t="shared" si="29"/>
        <v>70.900000000000006</v>
      </c>
      <c r="P19" s="63"/>
      <c r="Q19" s="63"/>
      <c r="R19" s="63">
        <v>70.900000000000006</v>
      </c>
      <c r="S19" s="63"/>
      <c r="T19" s="62">
        <f t="shared" si="30"/>
        <v>73.7</v>
      </c>
      <c r="U19" s="63"/>
      <c r="V19" s="63"/>
      <c r="W19" s="63">
        <v>73.7</v>
      </c>
      <c r="X19" s="63"/>
      <c r="Y19" s="62">
        <f t="shared" si="31"/>
        <v>76.7</v>
      </c>
      <c r="Z19" s="63"/>
      <c r="AA19" s="63"/>
      <c r="AB19" s="63">
        <v>76.7</v>
      </c>
      <c r="AC19" s="63"/>
      <c r="AD19" s="62">
        <f t="shared" si="32"/>
        <v>76.7</v>
      </c>
      <c r="AE19" s="63"/>
      <c r="AF19" s="63"/>
      <c r="AG19" s="63">
        <v>76.7</v>
      </c>
      <c r="AH19" s="63"/>
      <c r="AI19" s="62">
        <f t="shared" si="33"/>
        <v>76.7</v>
      </c>
      <c r="AJ19" s="63"/>
      <c r="AK19" s="63"/>
      <c r="AL19" s="63">
        <v>76.7</v>
      </c>
      <c r="AM19" s="64"/>
    </row>
    <row r="20" spans="1:39" s="54" customFormat="1" ht="87" customHeight="1" outlineLevel="2" x14ac:dyDescent="0.25">
      <c r="A20" s="59" t="s">
        <v>23</v>
      </c>
      <c r="B20" s="196" t="s">
        <v>357</v>
      </c>
      <c r="C20" s="196"/>
      <c r="D20" s="196"/>
      <c r="E20" s="60">
        <f>SUM(E21:E24)</f>
        <v>8981</v>
      </c>
      <c r="F20" s="60">
        <f t="shared" ref="F20:AM20" si="36">SUM(F21:F24)</f>
        <v>0</v>
      </c>
      <c r="G20" s="60">
        <f t="shared" si="36"/>
        <v>0</v>
      </c>
      <c r="H20" s="60">
        <f t="shared" si="36"/>
        <v>8981</v>
      </c>
      <c r="I20" s="60">
        <f t="shared" si="36"/>
        <v>0</v>
      </c>
      <c r="J20" s="60">
        <f t="shared" si="36"/>
        <v>1321.3000000000002</v>
      </c>
      <c r="K20" s="60">
        <f t="shared" si="36"/>
        <v>0</v>
      </c>
      <c r="L20" s="60">
        <f t="shared" si="36"/>
        <v>0</v>
      </c>
      <c r="M20" s="60">
        <f t="shared" si="36"/>
        <v>1321.3000000000002</v>
      </c>
      <c r="N20" s="60">
        <f t="shared" si="36"/>
        <v>0</v>
      </c>
      <c r="O20" s="60">
        <f t="shared" si="36"/>
        <v>2040.1999999999998</v>
      </c>
      <c r="P20" s="60">
        <f t="shared" si="36"/>
        <v>0</v>
      </c>
      <c r="Q20" s="60">
        <f t="shared" si="36"/>
        <v>0</v>
      </c>
      <c r="R20" s="60">
        <f t="shared" si="36"/>
        <v>2040.1999999999998</v>
      </c>
      <c r="S20" s="60">
        <f t="shared" si="36"/>
        <v>0</v>
      </c>
      <c r="T20" s="60">
        <f t="shared" si="36"/>
        <v>1338.6999999999998</v>
      </c>
      <c r="U20" s="60">
        <f t="shared" si="36"/>
        <v>0</v>
      </c>
      <c r="V20" s="60">
        <f t="shared" si="36"/>
        <v>0</v>
      </c>
      <c r="W20" s="60">
        <f t="shared" si="36"/>
        <v>1338.6999999999998</v>
      </c>
      <c r="X20" s="60">
        <f t="shared" si="36"/>
        <v>0</v>
      </c>
      <c r="Y20" s="60">
        <f t="shared" si="36"/>
        <v>1482</v>
      </c>
      <c r="Z20" s="60">
        <f t="shared" si="36"/>
        <v>0</v>
      </c>
      <c r="AA20" s="60">
        <f t="shared" si="36"/>
        <v>0</v>
      </c>
      <c r="AB20" s="60">
        <f t="shared" si="36"/>
        <v>1482</v>
      </c>
      <c r="AC20" s="60">
        <f t="shared" si="36"/>
        <v>0</v>
      </c>
      <c r="AD20" s="60">
        <f t="shared" si="36"/>
        <v>1399.4</v>
      </c>
      <c r="AE20" s="60">
        <f t="shared" si="36"/>
        <v>0</v>
      </c>
      <c r="AF20" s="60">
        <f t="shared" si="36"/>
        <v>0</v>
      </c>
      <c r="AG20" s="60">
        <f t="shared" si="36"/>
        <v>1399.4</v>
      </c>
      <c r="AH20" s="60">
        <f t="shared" si="36"/>
        <v>0</v>
      </c>
      <c r="AI20" s="60">
        <f t="shared" si="36"/>
        <v>1399.4</v>
      </c>
      <c r="AJ20" s="60">
        <f t="shared" si="36"/>
        <v>0</v>
      </c>
      <c r="AK20" s="60">
        <f t="shared" si="36"/>
        <v>0</v>
      </c>
      <c r="AL20" s="60">
        <f t="shared" si="36"/>
        <v>1399.4</v>
      </c>
      <c r="AM20" s="60">
        <f t="shared" si="36"/>
        <v>0</v>
      </c>
    </row>
    <row r="21" spans="1:39" ht="47.25" customHeight="1" outlineLevel="3" x14ac:dyDescent="0.25">
      <c r="A21" s="61" t="s">
        <v>45</v>
      </c>
      <c r="B21" s="2" t="s">
        <v>66</v>
      </c>
      <c r="C21" s="5" t="s">
        <v>66</v>
      </c>
      <c r="D21" s="5" t="s">
        <v>66</v>
      </c>
      <c r="E21" s="18">
        <f t="shared" ref="E21:E24" si="37">SUM(F21:I21)</f>
        <v>4937.4000000000005</v>
      </c>
      <c r="F21" s="3">
        <f t="shared" ref="F21:G24" si="38">K21+P21+U21</f>
        <v>0</v>
      </c>
      <c r="G21" s="3">
        <f t="shared" si="38"/>
        <v>0</v>
      </c>
      <c r="H21" s="3">
        <f>M21+R21+W21+AB21+AG21+AL21</f>
        <v>4937.4000000000005</v>
      </c>
      <c r="I21" s="3">
        <f t="shared" ref="I21:I24" si="39">N21+S21+X21</f>
        <v>0</v>
      </c>
      <c r="J21" s="62">
        <f t="shared" ref="J21:J24" si="40">SUM(K21:N21)</f>
        <v>871</v>
      </c>
      <c r="K21" s="63"/>
      <c r="L21" s="63"/>
      <c r="M21" s="63">
        <v>871</v>
      </c>
      <c r="N21" s="63"/>
      <c r="O21" s="62">
        <f t="shared" ref="O21:O24" si="41">SUM(P21:S21)</f>
        <v>1012</v>
      </c>
      <c r="P21" s="63"/>
      <c r="Q21" s="63"/>
      <c r="R21" s="63">
        <f>968.1+14.6+2.8+26.5</f>
        <v>1012</v>
      </c>
      <c r="S21" s="63"/>
      <c r="T21" s="62">
        <f t="shared" ref="T21:T24" si="42">SUM(U21:X21)</f>
        <v>818.5</v>
      </c>
      <c r="U21" s="63"/>
      <c r="V21" s="63"/>
      <c r="W21" s="63">
        <v>818.5</v>
      </c>
      <c r="X21" s="63"/>
      <c r="Y21" s="62">
        <f t="shared" ref="Y21:Y24" si="43">SUM(Z21:AC21)</f>
        <v>745.3</v>
      </c>
      <c r="Z21" s="63"/>
      <c r="AA21" s="63"/>
      <c r="AB21" s="63">
        <v>745.3</v>
      </c>
      <c r="AC21" s="63"/>
      <c r="AD21" s="62">
        <f t="shared" ref="AD21:AD24" si="44">SUM(AE21:AH21)</f>
        <v>745.3</v>
      </c>
      <c r="AE21" s="63"/>
      <c r="AF21" s="63"/>
      <c r="AG21" s="63">
        <v>745.3</v>
      </c>
      <c r="AH21" s="63"/>
      <c r="AI21" s="62">
        <f t="shared" ref="AI21:AI24" si="45">SUM(AJ21:AM21)</f>
        <v>745.3</v>
      </c>
      <c r="AJ21" s="63"/>
      <c r="AK21" s="63"/>
      <c r="AL21" s="63">
        <v>745.3</v>
      </c>
      <c r="AM21" s="64"/>
    </row>
    <row r="22" spans="1:39" ht="47.25" customHeight="1" outlineLevel="3" x14ac:dyDescent="0.25">
      <c r="A22" s="61" t="s">
        <v>46</v>
      </c>
      <c r="B22" s="2" t="s">
        <v>10</v>
      </c>
      <c r="C22" s="5" t="s">
        <v>10</v>
      </c>
      <c r="D22" s="5" t="s">
        <v>10</v>
      </c>
      <c r="E22" s="18">
        <f t="shared" si="37"/>
        <v>776.70000000000016</v>
      </c>
      <c r="F22" s="3">
        <f t="shared" si="38"/>
        <v>0</v>
      </c>
      <c r="G22" s="3">
        <f t="shared" si="38"/>
        <v>0</v>
      </c>
      <c r="H22" s="3">
        <f t="shared" ref="H22:H24" si="46">M22+R22+W22+AB22+AG22+AL22</f>
        <v>776.70000000000016</v>
      </c>
      <c r="I22" s="3">
        <f t="shared" si="39"/>
        <v>0</v>
      </c>
      <c r="J22" s="62">
        <f t="shared" si="40"/>
        <v>94.5</v>
      </c>
      <c r="K22" s="63"/>
      <c r="L22" s="63"/>
      <c r="M22" s="63">
        <v>94.5</v>
      </c>
      <c r="N22" s="63"/>
      <c r="O22" s="62">
        <f t="shared" si="41"/>
        <v>249.1</v>
      </c>
      <c r="P22" s="63"/>
      <c r="Q22" s="63"/>
      <c r="R22" s="63">
        <v>249.1</v>
      </c>
      <c r="S22" s="63"/>
      <c r="T22" s="62">
        <f t="shared" si="42"/>
        <v>170.3</v>
      </c>
      <c r="U22" s="63"/>
      <c r="V22" s="63"/>
      <c r="W22" s="63">
        <v>170.3</v>
      </c>
      <c r="X22" s="63"/>
      <c r="Y22" s="62">
        <f t="shared" si="43"/>
        <v>87.6</v>
      </c>
      <c r="Z22" s="63"/>
      <c r="AA22" s="63"/>
      <c r="AB22" s="63">
        <v>87.6</v>
      </c>
      <c r="AC22" s="63"/>
      <c r="AD22" s="62">
        <f t="shared" si="44"/>
        <v>87.6</v>
      </c>
      <c r="AE22" s="63"/>
      <c r="AF22" s="63"/>
      <c r="AG22" s="63">
        <v>87.6</v>
      </c>
      <c r="AH22" s="63"/>
      <c r="AI22" s="62">
        <f t="shared" si="45"/>
        <v>87.6</v>
      </c>
      <c r="AJ22" s="63"/>
      <c r="AK22" s="63"/>
      <c r="AL22" s="63">
        <v>87.6</v>
      </c>
      <c r="AM22" s="64"/>
    </row>
    <row r="23" spans="1:39" ht="47.25" customHeight="1" outlineLevel="3" x14ac:dyDescent="0.25">
      <c r="A23" s="61" t="s">
        <v>47</v>
      </c>
      <c r="B23" s="2" t="s">
        <v>68</v>
      </c>
      <c r="C23" s="6" t="s">
        <v>68</v>
      </c>
      <c r="D23" s="6" t="s">
        <v>68</v>
      </c>
      <c r="E23" s="18">
        <f t="shared" si="37"/>
        <v>177.9</v>
      </c>
      <c r="F23" s="3">
        <f t="shared" si="38"/>
        <v>0</v>
      </c>
      <c r="G23" s="3">
        <f t="shared" si="38"/>
        <v>0</v>
      </c>
      <c r="H23" s="3">
        <f t="shared" si="46"/>
        <v>177.9</v>
      </c>
      <c r="I23" s="3">
        <f t="shared" si="39"/>
        <v>0</v>
      </c>
      <c r="J23" s="62">
        <f t="shared" si="40"/>
        <v>177.9</v>
      </c>
      <c r="K23" s="63"/>
      <c r="L23" s="63"/>
      <c r="M23" s="63">
        <v>177.9</v>
      </c>
      <c r="N23" s="63"/>
      <c r="O23" s="62">
        <f t="shared" si="41"/>
        <v>0</v>
      </c>
      <c r="P23" s="63"/>
      <c r="Q23" s="63"/>
      <c r="R23" s="63">
        <v>0</v>
      </c>
      <c r="S23" s="63"/>
      <c r="T23" s="62">
        <f t="shared" si="42"/>
        <v>0</v>
      </c>
      <c r="U23" s="63"/>
      <c r="V23" s="63"/>
      <c r="W23" s="63">
        <v>0</v>
      </c>
      <c r="X23" s="63"/>
      <c r="Y23" s="62">
        <f t="shared" si="43"/>
        <v>0</v>
      </c>
      <c r="Z23" s="63"/>
      <c r="AA23" s="63"/>
      <c r="AB23" s="63">
        <v>0</v>
      </c>
      <c r="AC23" s="63"/>
      <c r="AD23" s="62">
        <f t="shared" si="44"/>
        <v>0</v>
      </c>
      <c r="AE23" s="63"/>
      <c r="AF23" s="63"/>
      <c r="AG23" s="63">
        <v>0</v>
      </c>
      <c r="AH23" s="63"/>
      <c r="AI23" s="62">
        <f t="shared" si="45"/>
        <v>0</v>
      </c>
      <c r="AJ23" s="63"/>
      <c r="AK23" s="63"/>
      <c r="AL23" s="63">
        <v>0</v>
      </c>
      <c r="AM23" s="64"/>
    </row>
    <row r="24" spans="1:39" ht="47.25" customHeight="1" outlineLevel="3" x14ac:dyDescent="0.25">
      <c r="A24" s="61" t="s">
        <v>48</v>
      </c>
      <c r="B24" s="2" t="s">
        <v>67</v>
      </c>
      <c r="C24" s="6" t="s">
        <v>67</v>
      </c>
      <c r="D24" s="6" t="s">
        <v>67</v>
      </c>
      <c r="E24" s="18">
        <f t="shared" si="37"/>
        <v>3089</v>
      </c>
      <c r="F24" s="3">
        <f t="shared" si="38"/>
        <v>0</v>
      </c>
      <c r="G24" s="3">
        <f t="shared" si="38"/>
        <v>0</v>
      </c>
      <c r="H24" s="3">
        <f t="shared" si="46"/>
        <v>3089</v>
      </c>
      <c r="I24" s="3">
        <f t="shared" si="39"/>
        <v>0</v>
      </c>
      <c r="J24" s="62">
        <f t="shared" si="40"/>
        <v>177.9</v>
      </c>
      <c r="K24" s="63"/>
      <c r="L24" s="63"/>
      <c r="M24" s="63">
        <v>177.9</v>
      </c>
      <c r="N24" s="63"/>
      <c r="O24" s="62">
        <f t="shared" si="41"/>
        <v>779.1</v>
      </c>
      <c r="P24" s="63"/>
      <c r="Q24" s="63"/>
      <c r="R24" s="63">
        <v>779.1</v>
      </c>
      <c r="S24" s="63"/>
      <c r="T24" s="62">
        <f t="shared" si="42"/>
        <v>349.9</v>
      </c>
      <c r="U24" s="63"/>
      <c r="V24" s="63"/>
      <c r="W24" s="63">
        <v>349.9</v>
      </c>
      <c r="X24" s="63"/>
      <c r="Y24" s="62">
        <f t="shared" si="43"/>
        <v>649.1</v>
      </c>
      <c r="Z24" s="63"/>
      <c r="AA24" s="63"/>
      <c r="AB24" s="63">
        <v>649.1</v>
      </c>
      <c r="AC24" s="63"/>
      <c r="AD24" s="62">
        <f t="shared" si="44"/>
        <v>566.5</v>
      </c>
      <c r="AE24" s="63"/>
      <c r="AF24" s="63"/>
      <c r="AG24" s="63">
        <v>566.5</v>
      </c>
      <c r="AH24" s="63"/>
      <c r="AI24" s="62">
        <f t="shared" si="45"/>
        <v>566.5</v>
      </c>
      <c r="AJ24" s="63"/>
      <c r="AK24" s="63"/>
      <c r="AL24" s="63">
        <v>566.5</v>
      </c>
      <c r="AM24" s="64"/>
    </row>
    <row r="25" spans="1:39" s="49" customFormat="1" ht="47.25" customHeight="1" outlineLevel="2" x14ac:dyDescent="0.25">
      <c r="A25" s="59" t="s">
        <v>59</v>
      </c>
      <c r="B25" s="174" t="s">
        <v>99</v>
      </c>
      <c r="C25" s="174"/>
      <c r="D25" s="174"/>
      <c r="E25" s="60">
        <f>SUM(E26:E29)</f>
        <v>86472.099999999991</v>
      </c>
      <c r="F25" s="60">
        <f t="shared" ref="F25:W25" si="47">SUM(F26:F29)</f>
        <v>0</v>
      </c>
      <c r="G25" s="60">
        <f t="shared" si="47"/>
        <v>0</v>
      </c>
      <c r="H25" s="60">
        <f t="shared" si="47"/>
        <v>86472.099999999991</v>
      </c>
      <c r="I25" s="60">
        <f t="shared" si="47"/>
        <v>0</v>
      </c>
      <c r="J25" s="60">
        <f t="shared" si="47"/>
        <v>15157.7</v>
      </c>
      <c r="K25" s="60">
        <f t="shared" si="47"/>
        <v>0</v>
      </c>
      <c r="L25" s="60">
        <f t="shared" si="47"/>
        <v>0</v>
      </c>
      <c r="M25" s="60">
        <f t="shared" si="47"/>
        <v>15157.7</v>
      </c>
      <c r="N25" s="60">
        <f t="shared" si="47"/>
        <v>0</v>
      </c>
      <c r="O25" s="60">
        <f t="shared" si="47"/>
        <v>14275.900000000001</v>
      </c>
      <c r="P25" s="60">
        <f t="shared" si="47"/>
        <v>0</v>
      </c>
      <c r="Q25" s="60">
        <f t="shared" si="47"/>
        <v>0</v>
      </c>
      <c r="R25" s="60">
        <f t="shared" si="47"/>
        <v>14275.900000000001</v>
      </c>
      <c r="S25" s="60">
        <f t="shared" si="47"/>
        <v>0</v>
      </c>
      <c r="T25" s="60">
        <f t="shared" si="47"/>
        <v>14294.2</v>
      </c>
      <c r="U25" s="60">
        <f t="shared" si="47"/>
        <v>0</v>
      </c>
      <c r="V25" s="60">
        <f t="shared" si="47"/>
        <v>0</v>
      </c>
      <c r="W25" s="60">
        <f t="shared" si="47"/>
        <v>14294.2</v>
      </c>
      <c r="X25" s="60">
        <f t="shared" ref="X25" si="48">SUM(X26:X28)</f>
        <v>0</v>
      </c>
      <c r="Y25" s="60">
        <f t="shared" ref="Y25:AB25" si="49">SUM(Y26:Y29)</f>
        <v>14248.1</v>
      </c>
      <c r="Z25" s="60">
        <f t="shared" si="49"/>
        <v>0</v>
      </c>
      <c r="AA25" s="60">
        <f t="shared" si="49"/>
        <v>0</v>
      </c>
      <c r="AB25" s="60">
        <f t="shared" si="49"/>
        <v>14248.1</v>
      </c>
      <c r="AC25" s="60">
        <f t="shared" ref="AC25" si="50">SUM(AC26:AC28)</f>
        <v>0</v>
      </c>
      <c r="AD25" s="60">
        <f t="shared" ref="AD25:AG25" si="51">SUM(AD26:AD29)</f>
        <v>14248.1</v>
      </c>
      <c r="AE25" s="60">
        <f t="shared" si="51"/>
        <v>0</v>
      </c>
      <c r="AF25" s="60">
        <f t="shared" si="51"/>
        <v>0</v>
      </c>
      <c r="AG25" s="60">
        <f t="shared" si="51"/>
        <v>14248.1</v>
      </c>
      <c r="AH25" s="60">
        <f t="shared" ref="AH25" si="52">SUM(AH26:AH28)</f>
        <v>0</v>
      </c>
      <c r="AI25" s="60">
        <f t="shared" ref="AI25:AL25" si="53">SUM(AI26:AI29)</f>
        <v>14248.1</v>
      </c>
      <c r="AJ25" s="60">
        <f t="shared" si="53"/>
        <v>0</v>
      </c>
      <c r="AK25" s="60">
        <f t="shared" si="53"/>
        <v>0</v>
      </c>
      <c r="AL25" s="60">
        <f t="shared" si="53"/>
        <v>14248.1</v>
      </c>
      <c r="AM25" s="60">
        <f t="shared" ref="AM25" si="54">SUM(AM26:AM28)</f>
        <v>0</v>
      </c>
    </row>
    <row r="26" spans="1:39" ht="78.75" outlineLevel="3" x14ac:dyDescent="0.25">
      <c r="A26" s="61" t="s">
        <v>61</v>
      </c>
      <c r="B26" s="9" t="s">
        <v>65</v>
      </c>
      <c r="C26" s="5" t="s">
        <v>66</v>
      </c>
      <c r="D26" s="5" t="s">
        <v>66</v>
      </c>
      <c r="E26" s="18">
        <f t="shared" ref="E26:E29" si="55">SUM(F26:I26)</f>
        <v>16206.400000000001</v>
      </c>
      <c r="F26" s="3">
        <f t="shared" ref="F26:G28" si="56">K26+P26+U26</f>
        <v>0</v>
      </c>
      <c r="G26" s="3">
        <f t="shared" si="56"/>
        <v>0</v>
      </c>
      <c r="H26" s="3">
        <f>M26+R26+W26+AB26+AG26+AL26</f>
        <v>16206.400000000001</v>
      </c>
      <c r="I26" s="3">
        <f t="shared" ref="I26:I28" si="57">N26+S26+X26</f>
        <v>0</v>
      </c>
      <c r="J26" s="62">
        <f t="shared" ref="J26:J29" si="58">SUM(K26:N26)</f>
        <v>2069.8000000000002</v>
      </c>
      <c r="K26" s="63"/>
      <c r="L26" s="63"/>
      <c r="M26" s="63">
        <v>2069.8000000000002</v>
      </c>
      <c r="N26" s="63"/>
      <c r="O26" s="62">
        <f t="shared" ref="O26:O29" si="59">SUM(P26:S26)</f>
        <v>2292.6000000000004</v>
      </c>
      <c r="P26" s="63"/>
      <c r="Q26" s="63"/>
      <c r="R26" s="63">
        <f>2069.8+222.8</f>
        <v>2292.6000000000004</v>
      </c>
      <c r="S26" s="63"/>
      <c r="T26" s="62">
        <f t="shared" ref="T26:T29" si="60">SUM(U26:X26)</f>
        <v>2961</v>
      </c>
      <c r="U26" s="63"/>
      <c r="V26" s="63"/>
      <c r="W26" s="63">
        <f>2069.8+891.2</f>
        <v>2961</v>
      </c>
      <c r="X26" s="63"/>
      <c r="Y26" s="62">
        <f t="shared" ref="Y26:Y29" si="61">SUM(Z26:AC26)</f>
        <v>2961</v>
      </c>
      <c r="Z26" s="63"/>
      <c r="AA26" s="63"/>
      <c r="AB26" s="63">
        <f>2069.8+891.2</f>
        <v>2961</v>
      </c>
      <c r="AC26" s="63"/>
      <c r="AD26" s="62">
        <f t="shared" ref="AD26:AD29" si="62">SUM(AE26:AH26)</f>
        <v>2961</v>
      </c>
      <c r="AE26" s="63"/>
      <c r="AF26" s="63"/>
      <c r="AG26" s="63">
        <f>2069.8+891.2</f>
        <v>2961</v>
      </c>
      <c r="AH26" s="63"/>
      <c r="AI26" s="62">
        <f t="shared" ref="AI26:AI29" si="63">SUM(AJ26:AM26)</f>
        <v>2961</v>
      </c>
      <c r="AJ26" s="63"/>
      <c r="AK26" s="63"/>
      <c r="AL26" s="63">
        <f>2069.8+891.2</f>
        <v>2961</v>
      </c>
      <c r="AM26" s="64"/>
    </row>
    <row r="27" spans="1:39" ht="63" outlineLevel="3" x14ac:dyDescent="0.25">
      <c r="A27" s="61" t="s">
        <v>62</v>
      </c>
      <c r="B27" s="2" t="s">
        <v>60</v>
      </c>
      <c r="C27" s="5" t="s">
        <v>66</v>
      </c>
      <c r="D27" s="5" t="s">
        <v>66</v>
      </c>
      <c r="E27" s="18">
        <f t="shared" si="55"/>
        <v>61937.399999999994</v>
      </c>
      <c r="F27" s="3">
        <f t="shared" si="56"/>
        <v>0</v>
      </c>
      <c r="G27" s="3">
        <f t="shared" si="56"/>
        <v>0</v>
      </c>
      <c r="H27" s="3">
        <f t="shared" ref="H27:H29" si="64">M27+R27+W27+AB27+AG27+AL27</f>
        <v>61937.399999999994</v>
      </c>
      <c r="I27" s="3">
        <f t="shared" si="57"/>
        <v>0</v>
      </c>
      <c r="J27" s="62">
        <f t="shared" si="58"/>
        <v>10271.9</v>
      </c>
      <c r="K27" s="63"/>
      <c r="L27" s="63"/>
      <c r="M27" s="63">
        <v>10271.9</v>
      </c>
      <c r="N27" s="63"/>
      <c r="O27" s="62">
        <f t="shared" si="59"/>
        <v>10333.1</v>
      </c>
      <c r="P27" s="63"/>
      <c r="Q27" s="63"/>
      <c r="R27" s="63">
        <v>10333.1</v>
      </c>
      <c r="S27" s="63"/>
      <c r="T27" s="62">
        <f t="shared" si="60"/>
        <v>10333.1</v>
      </c>
      <c r="U27" s="63"/>
      <c r="V27" s="63"/>
      <c r="W27" s="63">
        <v>10333.1</v>
      </c>
      <c r="X27" s="63"/>
      <c r="Y27" s="62">
        <f t="shared" si="61"/>
        <v>10333.1</v>
      </c>
      <c r="Z27" s="63"/>
      <c r="AA27" s="63"/>
      <c r="AB27" s="63">
        <v>10333.1</v>
      </c>
      <c r="AC27" s="63"/>
      <c r="AD27" s="62">
        <f t="shared" si="62"/>
        <v>10333.1</v>
      </c>
      <c r="AE27" s="63"/>
      <c r="AF27" s="63"/>
      <c r="AG27" s="63">
        <v>10333.1</v>
      </c>
      <c r="AH27" s="63"/>
      <c r="AI27" s="62">
        <f t="shared" si="63"/>
        <v>10333.1</v>
      </c>
      <c r="AJ27" s="63"/>
      <c r="AK27" s="63"/>
      <c r="AL27" s="63">
        <v>10333.1</v>
      </c>
      <c r="AM27" s="64"/>
    </row>
    <row r="28" spans="1:39" ht="78.75" outlineLevel="3" x14ac:dyDescent="0.25">
      <c r="A28" s="61" t="s">
        <v>63</v>
      </c>
      <c r="B28" s="2" t="s">
        <v>64</v>
      </c>
      <c r="C28" s="5" t="s">
        <v>66</v>
      </c>
      <c r="D28" s="5" t="s">
        <v>66</v>
      </c>
      <c r="E28" s="18">
        <f t="shared" si="55"/>
        <v>5477.7</v>
      </c>
      <c r="F28" s="3">
        <f t="shared" si="56"/>
        <v>0</v>
      </c>
      <c r="G28" s="3">
        <f t="shared" si="56"/>
        <v>0</v>
      </c>
      <c r="H28" s="3">
        <f t="shared" si="64"/>
        <v>5477.7</v>
      </c>
      <c r="I28" s="3">
        <f t="shared" si="57"/>
        <v>0</v>
      </c>
      <c r="J28" s="62">
        <f t="shared" si="58"/>
        <v>885</v>
      </c>
      <c r="K28" s="63"/>
      <c r="L28" s="63"/>
      <c r="M28" s="63">
        <v>885</v>
      </c>
      <c r="N28" s="63"/>
      <c r="O28" s="62">
        <f t="shared" si="59"/>
        <v>834.1</v>
      </c>
      <c r="P28" s="63"/>
      <c r="Q28" s="63"/>
      <c r="R28" s="63">
        <f>804.6+29.5</f>
        <v>834.1</v>
      </c>
      <c r="S28" s="63"/>
      <c r="T28" s="62">
        <f t="shared" si="60"/>
        <v>896.6</v>
      </c>
      <c r="U28" s="63"/>
      <c r="V28" s="63"/>
      <c r="W28" s="63">
        <v>896.6</v>
      </c>
      <c r="X28" s="63"/>
      <c r="Y28" s="62">
        <f t="shared" si="61"/>
        <v>954</v>
      </c>
      <c r="Z28" s="63"/>
      <c r="AA28" s="63"/>
      <c r="AB28" s="63">
        <v>954</v>
      </c>
      <c r="AC28" s="63"/>
      <c r="AD28" s="62">
        <f t="shared" si="62"/>
        <v>954</v>
      </c>
      <c r="AE28" s="63"/>
      <c r="AF28" s="63"/>
      <c r="AG28" s="63">
        <v>954</v>
      </c>
      <c r="AH28" s="63"/>
      <c r="AI28" s="62">
        <f t="shared" si="63"/>
        <v>954</v>
      </c>
      <c r="AJ28" s="63"/>
      <c r="AK28" s="63"/>
      <c r="AL28" s="63">
        <v>954</v>
      </c>
      <c r="AM28" s="64"/>
    </row>
    <row r="29" spans="1:39" ht="126" outlineLevel="3" x14ac:dyDescent="0.25">
      <c r="A29" s="61" t="s">
        <v>98</v>
      </c>
      <c r="B29" s="24" t="s">
        <v>97</v>
      </c>
      <c r="C29" s="5" t="s">
        <v>66</v>
      </c>
      <c r="D29" s="5" t="s">
        <v>66</v>
      </c>
      <c r="E29" s="18">
        <f t="shared" si="55"/>
        <v>2850.6</v>
      </c>
      <c r="F29" s="3"/>
      <c r="G29" s="3"/>
      <c r="H29" s="3">
        <f t="shared" si="64"/>
        <v>2850.6</v>
      </c>
      <c r="I29" s="3"/>
      <c r="J29" s="62">
        <f t="shared" si="58"/>
        <v>1931</v>
      </c>
      <c r="K29" s="63"/>
      <c r="L29" s="63"/>
      <c r="M29" s="63">
        <v>1931</v>
      </c>
      <c r="N29" s="63"/>
      <c r="O29" s="62">
        <f t="shared" si="59"/>
        <v>816.1</v>
      </c>
      <c r="P29" s="63"/>
      <c r="Q29" s="63"/>
      <c r="R29" s="63">
        <v>816.1</v>
      </c>
      <c r="S29" s="63"/>
      <c r="T29" s="62">
        <f t="shared" si="60"/>
        <v>103.5</v>
      </c>
      <c r="U29" s="63"/>
      <c r="V29" s="63"/>
      <c r="W29" s="63">
        <v>103.5</v>
      </c>
      <c r="X29" s="63"/>
      <c r="Y29" s="62">
        <f t="shared" si="61"/>
        <v>0</v>
      </c>
      <c r="Z29" s="63"/>
      <c r="AA29" s="63"/>
      <c r="AB29" s="63">
        <v>0</v>
      </c>
      <c r="AC29" s="63"/>
      <c r="AD29" s="62">
        <f t="shared" si="62"/>
        <v>0</v>
      </c>
      <c r="AE29" s="63"/>
      <c r="AF29" s="63"/>
      <c r="AG29" s="63">
        <v>0</v>
      </c>
      <c r="AH29" s="63"/>
      <c r="AI29" s="62">
        <f t="shared" si="63"/>
        <v>0</v>
      </c>
      <c r="AJ29" s="63"/>
      <c r="AK29" s="63"/>
      <c r="AL29" s="63">
        <v>0</v>
      </c>
      <c r="AM29" s="64"/>
    </row>
    <row r="30" spans="1:39" s="54" customFormat="1" ht="47.25" customHeight="1" outlineLevel="1" x14ac:dyDescent="0.25">
      <c r="A30" s="57">
        <v>2</v>
      </c>
      <c r="B30" s="195" t="s">
        <v>37</v>
      </c>
      <c r="C30" s="195"/>
      <c r="D30" s="195"/>
      <c r="E30" s="58">
        <f>E31+E39</f>
        <v>32073</v>
      </c>
      <c r="F30" s="58">
        <f t="shared" ref="F30:W30" si="65">F31+F39</f>
        <v>0</v>
      </c>
      <c r="G30" s="58">
        <f t="shared" si="65"/>
        <v>0</v>
      </c>
      <c r="H30" s="58">
        <f t="shared" si="65"/>
        <v>32073</v>
      </c>
      <c r="I30" s="58">
        <f t="shared" si="65"/>
        <v>0</v>
      </c>
      <c r="J30" s="58">
        <f t="shared" si="65"/>
        <v>14976.8</v>
      </c>
      <c r="K30" s="58">
        <f t="shared" si="65"/>
        <v>0</v>
      </c>
      <c r="L30" s="58">
        <f t="shared" si="65"/>
        <v>0</v>
      </c>
      <c r="M30" s="58">
        <f t="shared" si="65"/>
        <v>14976.8</v>
      </c>
      <c r="N30" s="58">
        <f t="shared" si="65"/>
        <v>0</v>
      </c>
      <c r="O30" s="58">
        <f t="shared" si="65"/>
        <v>13842.400000000001</v>
      </c>
      <c r="P30" s="58">
        <f t="shared" si="65"/>
        <v>0</v>
      </c>
      <c r="Q30" s="58">
        <f t="shared" si="65"/>
        <v>0</v>
      </c>
      <c r="R30" s="58">
        <f t="shared" si="65"/>
        <v>13842.400000000001</v>
      </c>
      <c r="S30" s="58">
        <f t="shared" si="65"/>
        <v>0</v>
      </c>
      <c r="T30" s="58">
        <f t="shared" si="65"/>
        <v>3086.2</v>
      </c>
      <c r="U30" s="58">
        <f t="shared" si="65"/>
        <v>0</v>
      </c>
      <c r="V30" s="58">
        <f t="shared" si="65"/>
        <v>0</v>
      </c>
      <c r="W30" s="58">
        <f t="shared" si="65"/>
        <v>3086.2</v>
      </c>
      <c r="X30" s="58">
        <f t="shared" ref="X30" si="66">SUM(X31:X36)</f>
        <v>0</v>
      </c>
      <c r="Y30" s="58">
        <f t="shared" ref="Y30:AB30" si="67">Y31+Y39</f>
        <v>71.599999999999994</v>
      </c>
      <c r="Z30" s="58">
        <f t="shared" si="67"/>
        <v>0</v>
      </c>
      <c r="AA30" s="58">
        <f t="shared" si="67"/>
        <v>0</v>
      </c>
      <c r="AB30" s="58">
        <f t="shared" si="67"/>
        <v>71.599999999999994</v>
      </c>
      <c r="AC30" s="58">
        <f t="shared" ref="AC30" si="68">SUM(AC31:AC36)</f>
        <v>0</v>
      </c>
      <c r="AD30" s="58">
        <f t="shared" ref="AD30:AG30" si="69">AD31+AD39</f>
        <v>48</v>
      </c>
      <c r="AE30" s="58">
        <f t="shared" si="69"/>
        <v>0</v>
      </c>
      <c r="AF30" s="58">
        <f t="shared" si="69"/>
        <v>0</v>
      </c>
      <c r="AG30" s="58">
        <f t="shared" si="69"/>
        <v>48</v>
      </c>
      <c r="AH30" s="58">
        <f t="shared" ref="AH30" si="70">SUM(AH31:AH36)</f>
        <v>0</v>
      </c>
      <c r="AI30" s="58">
        <f t="shared" ref="AI30:AL30" si="71">AI31+AI39</f>
        <v>48</v>
      </c>
      <c r="AJ30" s="58">
        <f t="shared" si="71"/>
        <v>0</v>
      </c>
      <c r="AK30" s="58">
        <f t="shared" si="71"/>
        <v>0</v>
      </c>
      <c r="AL30" s="58">
        <f t="shared" si="71"/>
        <v>48</v>
      </c>
      <c r="AM30" s="58">
        <f t="shared" ref="AM30" si="72">SUM(AM31:AM36)</f>
        <v>0</v>
      </c>
    </row>
    <row r="31" spans="1:39" outlineLevel="3" x14ac:dyDescent="0.25">
      <c r="A31" s="59" t="s">
        <v>49</v>
      </c>
      <c r="B31" s="174" t="s">
        <v>156</v>
      </c>
      <c r="C31" s="174"/>
      <c r="D31" s="174"/>
      <c r="E31" s="60">
        <f>SUM(E32:E38)</f>
        <v>28229.9</v>
      </c>
      <c r="F31" s="60">
        <f t="shared" ref="F31:W31" si="73">SUM(F32:F38)</f>
        <v>0</v>
      </c>
      <c r="G31" s="60">
        <f t="shared" si="73"/>
        <v>0</v>
      </c>
      <c r="H31" s="60">
        <f t="shared" si="73"/>
        <v>28229.9</v>
      </c>
      <c r="I31" s="60">
        <f t="shared" si="73"/>
        <v>0</v>
      </c>
      <c r="J31" s="60">
        <f t="shared" si="73"/>
        <v>14976.8</v>
      </c>
      <c r="K31" s="60">
        <f t="shared" si="73"/>
        <v>0</v>
      </c>
      <c r="L31" s="60">
        <f t="shared" si="73"/>
        <v>0</v>
      </c>
      <c r="M31" s="60">
        <f t="shared" si="73"/>
        <v>14976.8</v>
      </c>
      <c r="N31" s="60">
        <f t="shared" si="73"/>
        <v>0</v>
      </c>
      <c r="O31" s="60">
        <f>SUM(O32:O38)</f>
        <v>12773.900000000001</v>
      </c>
      <c r="P31" s="60">
        <f t="shared" si="73"/>
        <v>0</v>
      </c>
      <c r="Q31" s="60">
        <f t="shared" si="73"/>
        <v>0</v>
      </c>
      <c r="R31" s="60">
        <f t="shared" si="73"/>
        <v>12773.900000000001</v>
      </c>
      <c r="S31" s="60">
        <f t="shared" si="73"/>
        <v>0</v>
      </c>
      <c r="T31" s="60">
        <f t="shared" si="73"/>
        <v>311.60000000000002</v>
      </c>
      <c r="U31" s="60">
        <f t="shared" si="73"/>
        <v>0</v>
      </c>
      <c r="V31" s="60">
        <f t="shared" si="73"/>
        <v>0</v>
      </c>
      <c r="W31" s="60">
        <f t="shared" si="73"/>
        <v>311.60000000000002</v>
      </c>
      <c r="X31" s="64"/>
      <c r="Y31" s="60">
        <f t="shared" ref="Y31:AB31" si="74">SUM(Y32:Y38)</f>
        <v>71.599999999999994</v>
      </c>
      <c r="Z31" s="60">
        <f t="shared" si="74"/>
        <v>0</v>
      </c>
      <c r="AA31" s="60">
        <f t="shared" si="74"/>
        <v>0</v>
      </c>
      <c r="AB31" s="60">
        <f t="shared" si="74"/>
        <v>71.599999999999994</v>
      </c>
      <c r="AC31" s="64"/>
      <c r="AD31" s="60">
        <f t="shared" ref="AD31:AG31" si="75">SUM(AD32:AD38)</f>
        <v>48</v>
      </c>
      <c r="AE31" s="60">
        <f t="shared" si="75"/>
        <v>0</v>
      </c>
      <c r="AF31" s="60">
        <f t="shared" si="75"/>
        <v>0</v>
      </c>
      <c r="AG31" s="60">
        <f t="shared" si="75"/>
        <v>48</v>
      </c>
      <c r="AH31" s="64"/>
      <c r="AI31" s="60">
        <f t="shared" ref="AI31:AL31" si="76">SUM(AI32:AI38)</f>
        <v>48</v>
      </c>
      <c r="AJ31" s="60">
        <f t="shared" si="76"/>
        <v>0</v>
      </c>
      <c r="AK31" s="60">
        <f t="shared" si="76"/>
        <v>0</v>
      </c>
      <c r="AL31" s="60">
        <f t="shared" si="76"/>
        <v>48</v>
      </c>
      <c r="AM31" s="64"/>
    </row>
    <row r="32" spans="1:39" ht="78.75" outlineLevel="3" x14ac:dyDescent="0.25">
      <c r="A32" s="61" t="s">
        <v>100</v>
      </c>
      <c r="B32" s="2" t="s">
        <v>173</v>
      </c>
      <c r="C32" s="5" t="s">
        <v>10</v>
      </c>
      <c r="D32" s="5" t="s">
        <v>10</v>
      </c>
      <c r="E32" s="18">
        <f>H32</f>
        <v>1164.0999999999999</v>
      </c>
      <c r="F32" s="3"/>
      <c r="G32" s="3"/>
      <c r="H32" s="3">
        <f>M32+R32+W32+AB32+AG32+AL32</f>
        <v>1164.0999999999999</v>
      </c>
      <c r="I32" s="3"/>
      <c r="J32" s="62">
        <f t="shared" ref="J32:J33" si="77">SUM(K32:N32)</f>
        <v>707</v>
      </c>
      <c r="K32" s="63"/>
      <c r="L32" s="63"/>
      <c r="M32" s="63">
        <f>1030-23-300</f>
        <v>707</v>
      </c>
      <c r="N32" s="63"/>
      <c r="O32" s="62">
        <f>R32</f>
        <v>410.8</v>
      </c>
      <c r="P32" s="63"/>
      <c r="Q32" s="63"/>
      <c r="R32" s="63">
        <v>410.8</v>
      </c>
      <c r="S32" s="63"/>
      <c r="T32" s="62">
        <f>W32</f>
        <v>22.7</v>
      </c>
      <c r="U32" s="63"/>
      <c r="V32" s="63"/>
      <c r="W32" s="63">
        <v>22.7</v>
      </c>
      <c r="X32" s="63"/>
      <c r="Y32" s="62">
        <f>AB32</f>
        <v>23.6</v>
      </c>
      <c r="Z32" s="63"/>
      <c r="AA32" s="63"/>
      <c r="AB32" s="63">
        <v>23.6</v>
      </c>
      <c r="AC32" s="63"/>
      <c r="AD32" s="62">
        <v>0</v>
      </c>
      <c r="AE32" s="63"/>
      <c r="AF32" s="63"/>
      <c r="AG32" s="63">
        <v>0</v>
      </c>
      <c r="AH32" s="63"/>
      <c r="AI32" s="62">
        <v>0</v>
      </c>
      <c r="AJ32" s="63"/>
      <c r="AK32" s="63"/>
      <c r="AL32" s="63">
        <v>0</v>
      </c>
      <c r="AM32" s="64"/>
    </row>
    <row r="33" spans="1:39" ht="63" outlineLevel="3" x14ac:dyDescent="0.25">
      <c r="A33" s="61" t="s">
        <v>101</v>
      </c>
      <c r="B33" s="2" t="s">
        <v>102</v>
      </c>
      <c r="C33" s="5" t="s">
        <v>10</v>
      </c>
      <c r="D33" s="5" t="s">
        <v>10</v>
      </c>
      <c r="E33" s="18">
        <f>H33</f>
        <v>207</v>
      </c>
      <c r="F33" s="3"/>
      <c r="G33" s="3"/>
      <c r="H33" s="3">
        <f t="shared" ref="H33:H35" si="78">M33+R33+W33+AB33+AG33+AL33</f>
        <v>207</v>
      </c>
      <c r="I33" s="3"/>
      <c r="J33" s="62">
        <f t="shared" si="77"/>
        <v>80</v>
      </c>
      <c r="K33" s="63"/>
      <c r="L33" s="63"/>
      <c r="M33" s="63">
        <v>80</v>
      </c>
      <c r="N33" s="63"/>
      <c r="O33" s="62">
        <f>R33</f>
        <v>127</v>
      </c>
      <c r="P33" s="63"/>
      <c r="Q33" s="63"/>
      <c r="R33" s="63">
        <v>127</v>
      </c>
      <c r="S33" s="63"/>
      <c r="T33" s="62">
        <f>W33</f>
        <v>0</v>
      </c>
      <c r="U33" s="64"/>
      <c r="V33" s="64"/>
      <c r="W33" s="64">
        <v>0</v>
      </c>
      <c r="X33" s="64"/>
      <c r="Y33" s="62">
        <f>AB33</f>
        <v>0</v>
      </c>
      <c r="Z33" s="64"/>
      <c r="AA33" s="64"/>
      <c r="AB33" s="64">
        <v>0</v>
      </c>
      <c r="AC33" s="64"/>
      <c r="AD33" s="62">
        <f>AG33</f>
        <v>0</v>
      </c>
      <c r="AE33" s="64"/>
      <c r="AF33" s="64"/>
      <c r="AG33" s="64">
        <v>0</v>
      </c>
      <c r="AH33" s="64"/>
      <c r="AI33" s="62">
        <f>AL33</f>
        <v>0</v>
      </c>
      <c r="AJ33" s="64"/>
      <c r="AK33" s="64"/>
      <c r="AL33" s="64">
        <v>0</v>
      </c>
      <c r="AM33" s="64"/>
    </row>
    <row r="34" spans="1:39" ht="63" outlineLevel="3" x14ac:dyDescent="0.25">
      <c r="A34" s="61" t="s">
        <v>103</v>
      </c>
      <c r="B34" s="2" t="s">
        <v>108</v>
      </c>
      <c r="C34" s="5" t="s">
        <v>10</v>
      </c>
      <c r="D34" s="5" t="s">
        <v>10</v>
      </c>
      <c r="E34" s="18">
        <f>H34</f>
        <v>23</v>
      </c>
      <c r="F34" s="3"/>
      <c r="G34" s="3"/>
      <c r="H34" s="3">
        <f t="shared" si="78"/>
        <v>23</v>
      </c>
      <c r="I34" s="3"/>
      <c r="J34" s="62">
        <f>M34</f>
        <v>23</v>
      </c>
      <c r="K34" s="63"/>
      <c r="L34" s="63"/>
      <c r="M34" s="63">
        <v>23</v>
      </c>
      <c r="N34" s="63"/>
      <c r="O34" s="62">
        <f>R34</f>
        <v>0</v>
      </c>
      <c r="P34" s="63"/>
      <c r="Q34" s="63"/>
      <c r="R34" s="63">
        <v>0</v>
      </c>
      <c r="S34" s="65"/>
      <c r="T34" s="66">
        <f>W34</f>
        <v>0</v>
      </c>
      <c r="U34" s="67"/>
      <c r="V34" s="67"/>
      <c r="W34" s="67">
        <v>0</v>
      </c>
      <c r="X34" s="64"/>
      <c r="Y34" s="66">
        <f>AB34</f>
        <v>0</v>
      </c>
      <c r="Z34" s="67"/>
      <c r="AA34" s="67"/>
      <c r="AB34" s="67">
        <v>0</v>
      </c>
      <c r="AC34" s="64"/>
      <c r="AD34" s="66">
        <f>AG34</f>
        <v>0</v>
      </c>
      <c r="AE34" s="67"/>
      <c r="AF34" s="67"/>
      <c r="AG34" s="67">
        <v>0</v>
      </c>
      <c r="AH34" s="64"/>
      <c r="AI34" s="66">
        <f>AL34</f>
        <v>0</v>
      </c>
      <c r="AJ34" s="67"/>
      <c r="AK34" s="67"/>
      <c r="AL34" s="67">
        <v>0</v>
      </c>
      <c r="AM34" s="64"/>
    </row>
    <row r="35" spans="1:39" ht="110.25" outlineLevel="3" x14ac:dyDescent="0.25">
      <c r="A35" s="61" t="s">
        <v>104</v>
      </c>
      <c r="B35" s="2" t="s">
        <v>20</v>
      </c>
      <c r="C35" s="5" t="s">
        <v>10</v>
      </c>
      <c r="D35" s="5" t="s">
        <v>10</v>
      </c>
      <c r="E35" s="18">
        <f t="shared" ref="E35" si="79">SUM(F35:I35)</f>
        <v>281.8</v>
      </c>
      <c r="F35" s="3">
        <f t="shared" ref="F35:G37" si="80">K35+P35+U35</f>
        <v>0</v>
      </c>
      <c r="G35" s="3">
        <f t="shared" si="80"/>
        <v>0</v>
      </c>
      <c r="H35" s="3">
        <f t="shared" si="78"/>
        <v>281.8</v>
      </c>
      <c r="I35" s="3">
        <f t="shared" ref="I35:I37" si="81">N35+S35+X35</f>
        <v>0</v>
      </c>
      <c r="J35" s="62">
        <f t="shared" ref="J35:J37" si="82">SUM(K35:N35)</f>
        <v>43.800000000000004</v>
      </c>
      <c r="K35" s="63"/>
      <c r="L35" s="63"/>
      <c r="M35" s="68">
        <f>40.2+3.6</f>
        <v>43.800000000000004</v>
      </c>
      <c r="N35" s="63"/>
      <c r="O35" s="62">
        <f t="shared" ref="O35" si="83">SUM(P35:S35)</f>
        <v>46</v>
      </c>
      <c r="P35" s="63"/>
      <c r="Q35" s="63"/>
      <c r="R35" s="69">
        <v>46</v>
      </c>
      <c r="S35" s="65"/>
      <c r="T35" s="66">
        <f t="shared" ref="T35:T36" si="84">SUM(U35:X35)</f>
        <v>48</v>
      </c>
      <c r="U35" s="65"/>
      <c r="V35" s="65"/>
      <c r="W35" s="65">
        <v>48</v>
      </c>
      <c r="X35" s="63"/>
      <c r="Y35" s="66">
        <f t="shared" ref="Y35:Y36" si="85">SUM(Z35:AC35)</f>
        <v>48</v>
      </c>
      <c r="Z35" s="65"/>
      <c r="AA35" s="65"/>
      <c r="AB35" s="65">
        <v>48</v>
      </c>
      <c r="AC35" s="63"/>
      <c r="AD35" s="66">
        <f t="shared" ref="AD35:AD36" si="86">SUM(AE35:AH35)</f>
        <v>48</v>
      </c>
      <c r="AE35" s="65"/>
      <c r="AF35" s="65"/>
      <c r="AG35" s="65">
        <v>48</v>
      </c>
      <c r="AH35" s="63"/>
      <c r="AI35" s="66">
        <f t="shared" ref="AI35:AI36" si="87">SUM(AJ35:AM35)</f>
        <v>48</v>
      </c>
      <c r="AJ35" s="65"/>
      <c r="AK35" s="65"/>
      <c r="AL35" s="65">
        <v>48</v>
      </c>
      <c r="AM35" s="64"/>
    </row>
    <row r="36" spans="1:39" ht="120" customHeight="1" outlineLevel="3" x14ac:dyDescent="0.25">
      <c r="A36" s="197" t="s">
        <v>105</v>
      </c>
      <c r="B36" s="199" t="s">
        <v>174</v>
      </c>
      <c r="C36" s="5" t="s">
        <v>10</v>
      </c>
      <c r="D36" s="5" t="s">
        <v>10</v>
      </c>
      <c r="E36" s="20">
        <f>SUM(F36:I36)</f>
        <v>11946.800000000001</v>
      </c>
      <c r="F36" s="21">
        <f t="shared" si="80"/>
        <v>0</v>
      </c>
      <c r="G36" s="21">
        <f t="shared" si="80"/>
        <v>0</v>
      </c>
      <c r="H36" s="3">
        <f>M36+R36+W36+AB36+AG36+AL36</f>
        <v>11946.800000000001</v>
      </c>
      <c r="I36" s="21">
        <f t="shared" si="81"/>
        <v>0</v>
      </c>
      <c r="J36" s="62">
        <f t="shared" si="82"/>
        <v>11252.7</v>
      </c>
      <c r="K36" s="63"/>
      <c r="L36" s="63"/>
      <c r="M36" s="63">
        <f>7327.9+3624.8+300</f>
        <v>11252.7</v>
      </c>
      <c r="N36" s="63"/>
      <c r="O36" s="62">
        <f t="shared" ref="O36" si="88">SUM(P36:S36)</f>
        <v>453.2</v>
      </c>
      <c r="P36" s="63"/>
      <c r="Q36" s="63"/>
      <c r="R36" s="63">
        <v>453.2</v>
      </c>
      <c r="S36" s="63"/>
      <c r="T36" s="62">
        <f t="shared" si="84"/>
        <v>240.9</v>
      </c>
      <c r="U36" s="63"/>
      <c r="V36" s="63"/>
      <c r="W36" s="63">
        <v>240.9</v>
      </c>
      <c r="X36" s="63"/>
      <c r="Y36" s="62">
        <f t="shared" si="85"/>
        <v>0</v>
      </c>
      <c r="Z36" s="63"/>
      <c r="AA36" s="63"/>
      <c r="AB36" s="63">
        <v>0</v>
      </c>
      <c r="AC36" s="63"/>
      <c r="AD36" s="62">
        <f t="shared" si="86"/>
        <v>0</v>
      </c>
      <c r="AE36" s="63"/>
      <c r="AF36" s="63"/>
      <c r="AG36" s="63">
        <v>0</v>
      </c>
      <c r="AH36" s="63"/>
      <c r="AI36" s="62">
        <f t="shared" si="87"/>
        <v>0</v>
      </c>
      <c r="AJ36" s="63"/>
      <c r="AK36" s="63"/>
      <c r="AL36" s="63">
        <v>0</v>
      </c>
      <c r="AM36" s="63"/>
    </row>
    <row r="37" spans="1:39" ht="73.5" customHeight="1" outlineLevel="3" x14ac:dyDescent="0.25">
      <c r="A37" s="198"/>
      <c r="B37" s="200"/>
      <c r="C37" s="5" t="s">
        <v>10</v>
      </c>
      <c r="D37" s="5" t="s">
        <v>6</v>
      </c>
      <c r="E37" s="20">
        <f>SUM(F37:I37)</f>
        <v>11736.900000000001</v>
      </c>
      <c r="F37" s="21">
        <f t="shared" si="80"/>
        <v>0</v>
      </c>
      <c r="G37" s="21">
        <f t="shared" si="80"/>
        <v>0</v>
      </c>
      <c r="H37" s="3">
        <f>M37+R37+W37+AB37+AG37+AL37</f>
        <v>11736.900000000001</v>
      </c>
      <c r="I37" s="21">
        <f t="shared" si="81"/>
        <v>0</v>
      </c>
      <c r="J37" s="62">
        <f t="shared" si="82"/>
        <v>0</v>
      </c>
      <c r="K37" s="63"/>
      <c r="L37" s="63"/>
      <c r="M37" s="63">
        <v>0</v>
      </c>
      <c r="N37" s="63"/>
      <c r="O37" s="62">
        <f t="shared" ref="O37" si="89">SUM(P37:S37)</f>
        <v>11736.900000000001</v>
      </c>
      <c r="P37" s="63"/>
      <c r="Q37" s="63"/>
      <c r="R37" s="63">
        <f>10982.7+754.2</f>
        <v>11736.900000000001</v>
      </c>
      <c r="S37" s="63"/>
      <c r="T37" s="62">
        <v>0</v>
      </c>
      <c r="U37" s="63"/>
      <c r="V37" s="63"/>
      <c r="W37" s="63">
        <v>0</v>
      </c>
      <c r="X37" s="63"/>
      <c r="Y37" s="62">
        <f t="shared" ref="Y37" si="90">SUM(Z37:AC37)</f>
        <v>0</v>
      </c>
      <c r="Z37" s="63"/>
      <c r="AA37" s="63"/>
      <c r="AB37" s="63">
        <v>0</v>
      </c>
      <c r="AC37" s="63"/>
      <c r="AD37" s="62">
        <f t="shared" ref="AD37" si="91">SUM(AE37:AH37)</f>
        <v>0</v>
      </c>
      <c r="AE37" s="63"/>
      <c r="AF37" s="63"/>
      <c r="AG37" s="63">
        <v>0</v>
      </c>
      <c r="AH37" s="63"/>
      <c r="AI37" s="62">
        <f t="shared" ref="AI37" si="92">SUM(AJ37:AM37)</f>
        <v>0</v>
      </c>
      <c r="AJ37" s="63"/>
      <c r="AK37" s="63"/>
      <c r="AL37" s="63">
        <v>0</v>
      </c>
      <c r="AM37" s="63"/>
    </row>
    <row r="38" spans="1:39" ht="110.25" outlineLevel="3" x14ac:dyDescent="0.25">
      <c r="A38" s="61" t="s">
        <v>348</v>
      </c>
      <c r="B38" s="2" t="s">
        <v>93</v>
      </c>
      <c r="C38" s="6" t="s">
        <v>109</v>
      </c>
      <c r="D38" s="6" t="s">
        <v>6</v>
      </c>
      <c r="E38" s="20">
        <f>SUM(F38:I38)</f>
        <v>2870.2999999999997</v>
      </c>
      <c r="F38" s="21"/>
      <c r="G38" s="21"/>
      <c r="H38" s="3">
        <f>M38+R38+W38+AB38+AG38+AL38</f>
        <v>2870.2999999999997</v>
      </c>
      <c r="I38" s="21"/>
      <c r="J38" s="62">
        <f>M38</f>
        <v>2870.2999999999997</v>
      </c>
      <c r="K38" s="63"/>
      <c r="L38" s="63"/>
      <c r="M38" s="63">
        <f>909.4+368.2+111.6+1481.1</f>
        <v>2870.2999999999997</v>
      </c>
      <c r="N38" s="63"/>
      <c r="O38" s="62">
        <v>0</v>
      </c>
      <c r="P38" s="63"/>
      <c r="Q38" s="63"/>
      <c r="R38" s="63">
        <v>0</v>
      </c>
      <c r="S38" s="63"/>
      <c r="T38" s="62">
        <v>0</v>
      </c>
      <c r="U38" s="63"/>
      <c r="V38" s="63"/>
      <c r="W38" s="63">
        <v>0</v>
      </c>
      <c r="X38" s="63"/>
      <c r="Y38" s="62">
        <v>0</v>
      </c>
      <c r="Z38" s="63"/>
      <c r="AA38" s="63"/>
      <c r="AB38" s="63">
        <v>0</v>
      </c>
      <c r="AC38" s="63"/>
      <c r="AD38" s="62">
        <v>0</v>
      </c>
      <c r="AE38" s="63"/>
      <c r="AF38" s="63"/>
      <c r="AG38" s="63">
        <v>0</v>
      </c>
      <c r="AH38" s="63"/>
      <c r="AI38" s="62">
        <v>0</v>
      </c>
      <c r="AJ38" s="63"/>
      <c r="AK38" s="63"/>
      <c r="AL38" s="63">
        <v>0</v>
      </c>
      <c r="AM38" s="63"/>
    </row>
    <row r="39" spans="1:39" outlineLevel="3" x14ac:dyDescent="0.25">
      <c r="A39" s="59" t="s">
        <v>50</v>
      </c>
      <c r="B39" s="174" t="s">
        <v>176</v>
      </c>
      <c r="C39" s="174"/>
      <c r="D39" s="174"/>
      <c r="E39" s="60">
        <f>E40+E42</f>
        <v>3843.1</v>
      </c>
      <c r="F39" s="60">
        <f t="shared" ref="F39:AL39" si="93">F40+F42</f>
        <v>0</v>
      </c>
      <c r="G39" s="60">
        <f t="shared" si="93"/>
        <v>0</v>
      </c>
      <c r="H39" s="60">
        <f t="shared" si="93"/>
        <v>3843.1</v>
      </c>
      <c r="I39" s="60">
        <f t="shared" si="93"/>
        <v>0</v>
      </c>
      <c r="J39" s="60">
        <f t="shared" si="93"/>
        <v>0</v>
      </c>
      <c r="K39" s="60">
        <f t="shared" si="93"/>
        <v>0</v>
      </c>
      <c r="L39" s="60">
        <f t="shared" si="93"/>
        <v>0</v>
      </c>
      <c r="M39" s="60">
        <f t="shared" si="93"/>
        <v>0</v>
      </c>
      <c r="N39" s="60">
        <f t="shared" si="93"/>
        <v>0</v>
      </c>
      <c r="O39" s="60">
        <f t="shared" si="93"/>
        <v>1068.5</v>
      </c>
      <c r="P39" s="60">
        <f t="shared" si="93"/>
        <v>0</v>
      </c>
      <c r="Q39" s="60">
        <f t="shared" si="93"/>
        <v>0</v>
      </c>
      <c r="R39" s="60">
        <f t="shared" si="93"/>
        <v>1068.5</v>
      </c>
      <c r="S39" s="60">
        <f t="shared" si="93"/>
        <v>0</v>
      </c>
      <c r="T39" s="60">
        <f t="shared" si="93"/>
        <v>2774.6</v>
      </c>
      <c r="U39" s="60">
        <f t="shared" si="93"/>
        <v>0</v>
      </c>
      <c r="V39" s="60">
        <f t="shared" si="93"/>
        <v>0</v>
      </c>
      <c r="W39" s="60">
        <f t="shared" si="93"/>
        <v>2774.6</v>
      </c>
      <c r="X39" s="60">
        <f t="shared" si="93"/>
        <v>0</v>
      </c>
      <c r="Y39" s="60">
        <f t="shared" si="93"/>
        <v>0</v>
      </c>
      <c r="Z39" s="60">
        <f t="shared" si="93"/>
        <v>0</v>
      </c>
      <c r="AA39" s="60">
        <f t="shared" si="93"/>
        <v>0</v>
      </c>
      <c r="AB39" s="60">
        <f t="shared" si="93"/>
        <v>0</v>
      </c>
      <c r="AC39" s="60">
        <f t="shared" si="93"/>
        <v>0</v>
      </c>
      <c r="AD39" s="60">
        <f t="shared" si="93"/>
        <v>0</v>
      </c>
      <c r="AE39" s="60">
        <f t="shared" si="93"/>
        <v>0</v>
      </c>
      <c r="AF39" s="60">
        <f t="shared" si="93"/>
        <v>0</v>
      </c>
      <c r="AG39" s="60">
        <f t="shared" si="93"/>
        <v>0</v>
      </c>
      <c r="AH39" s="60">
        <f t="shared" si="93"/>
        <v>0</v>
      </c>
      <c r="AI39" s="60">
        <f t="shared" si="93"/>
        <v>0</v>
      </c>
      <c r="AJ39" s="60">
        <f t="shared" si="93"/>
        <v>0</v>
      </c>
      <c r="AK39" s="60">
        <f t="shared" si="93"/>
        <v>0</v>
      </c>
      <c r="AL39" s="60">
        <f t="shared" si="93"/>
        <v>0</v>
      </c>
      <c r="AM39" s="64"/>
    </row>
    <row r="40" spans="1:39" ht="53.25" customHeight="1" outlineLevel="3" x14ac:dyDescent="0.25">
      <c r="A40" s="61" t="s">
        <v>106</v>
      </c>
      <c r="B40" s="201" t="s">
        <v>349</v>
      </c>
      <c r="C40" s="202"/>
      <c r="D40" s="203"/>
      <c r="E40" s="20">
        <f>SUM(E41)</f>
        <v>1068.5</v>
      </c>
      <c r="F40" s="20">
        <f t="shared" ref="F40:AL40" si="94">SUM(F41)</f>
        <v>0</v>
      </c>
      <c r="G40" s="20">
        <f t="shared" si="94"/>
        <v>0</v>
      </c>
      <c r="H40" s="21">
        <f t="shared" si="94"/>
        <v>1068.5</v>
      </c>
      <c r="I40" s="20">
        <f t="shared" si="94"/>
        <v>0</v>
      </c>
      <c r="J40" s="20">
        <f t="shared" si="94"/>
        <v>0</v>
      </c>
      <c r="K40" s="20">
        <f t="shared" si="94"/>
        <v>0</v>
      </c>
      <c r="L40" s="20">
        <f t="shared" si="94"/>
        <v>0</v>
      </c>
      <c r="M40" s="20">
        <f t="shared" si="94"/>
        <v>0</v>
      </c>
      <c r="N40" s="20">
        <f t="shared" si="94"/>
        <v>0</v>
      </c>
      <c r="O40" s="20">
        <f t="shared" si="94"/>
        <v>1068.5</v>
      </c>
      <c r="P40" s="20">
        <f t="shared" si="94"/>
        <v>0</v>
      </c>
      <c r="Q40" s="20">
        <f t="shared" si="94"/>
        <v>0</v>
      </c>
      <c r="R40" s="21">
        <f t="shared" si="94"/>
        <v>1068.5</v>
      </c>
      <c r="S40" s="20">
        <f t="shared" si="94"/>
        <v>0</v>
      </c>
      <c r="T40" s="20">
        <f t="shared" si="94"/>
        <v>0</v>
      </c>
      <c r="U40" s="20">
        <f t="shared" si="94"/>
        <v>0</v>
      </c>
      <c r="V40" s="20">
        <f t="shared" si="94"/>
        <v>0</v>
      </c>
      <c r="W40" s="20">
        <f t="shared" si="94"/>
        <v>0</v>
      </c>
      <c r="X40" s="20">
        <f t="shared" si="94"/>
        <v>0</v>
      </c>
      <c r="Y40" s="20">
        <f t="shared" si="94"/>
        <v>0</v>
      </c>
      <c r="Z40" s="20">
        <f t="shared" si="94"/>
        <v>0</v>
      </c>
      <c r="AA40" s="20">
        <f t="shared" si="94"/>
        <v>0</v>
      </c>
      <c r="AB40" s="20">
        <f t="shared" si="94"/>
        <v>0</v>
      </c>
      <c r="AC40" s="20">
        <f t="shared" si="94"/>
        <v>0</v>
      </c>
      <c r="AD40" s="20">
        <f t="shared" si="94"/>
        <v>0</v>
      </c>
      <c r="AE40" s="20">
        <f t="shared" si="94"/>
        <v>0</v>
      </c>
      <c r="AF40" s="20">
        <f t="shared" si="94"/>
        <v>0</v>
      </c>
      <c r="AG40" s="20">
        <f t="shared" si="94"/>
        <v>0</v>
      </c>
      <c r="AH40" s="20">
        <f t="shared" si="94"/>
        <v>0</v>
      </c>
      <c r="AI40" s="20">
        <f t="shared" si="94"/>
        <v>0</v>
      </c>
      <c r="AJ40" s="20">
        <f t="shared" si="94"/>
        <v>0</v>
      </c>
      <c r="AK40" s="20">
        <f t="shared" si="94"/>
        <v>0</v>
      </c>
      <c r="AL40" s="20">
        <f t="shared" si="94"/>
        <v>0</v>
      </c>
      <c r="AM40" s="63"/>
    </row>
    <row r="41" spans="1:39" ht="47.25" outlineLevel="3" x14ac:dyDescent="0.25">
      <c r="A41" s="70" t="s">
        <v>172</v>
      </c>
      <c r="B41" s="71" t="s">
        <v>107</v>
      </c>
      <c r="C41" s="72" t="s">
        <v>66</v>
      </c>
      <c r="D41" s="72" t="s">
        <v>36</v>
      </c>
      <c r="E41" s="18">
        <f t="shared" ref="E41:E43" si="95">SUM(F41:I41)</f>
        <v>1068.5</v>
      </c>
      <c r="F41" s="3">
        <f t="shared" ref="F41:G41" si="96">K41+P41+U41</f>
        <v>0</v>
      </c>
      <c r="G41" s="3">
        <f t="shared" si="96"/>
        <v>0</v>
      </c>
      <c r="H41" s="3">
        <f>M41+R41+W41+AB41+AG41+AL41</f>
        <v>1068.5</v>
      </c>
      <c r="I41" s="3"/>
      <c r="J41" s="73">
        <f>M41</f>
        <v>0</v>
      </c>
      <c r="K41" s="64"/>
      <c r="L41" s="64"/>
      <c r="M41" s="64">
        <v>0</v>
      </c>
      <c r="N41" s="64"/>
      <c r="O41" s="73">
        <f>R41</f>
        <v>1068.5</v>
      </c>
      <c r="P41" s="64"/>
      <c r="Q41" s="64"/>
      <c r="R41" s="64">
        <f>897.7+170.8</f>
        <v>1068.5</v>
      </c>
      <c r="S41" s="63"/>
      <c r="T41" s="62">
        <f>W41</f>
        <v>0</v>
      </c>
      <c r="U41" s="63"/>
      <c r="V41" s="63"/>
      <c r="W41" s="63">
        <v>0</v>
      </c>
      <c r="X41" s="63"/>
      <c r="Y41" s="62">
        <f>AB41</f>
        <v>0</v>
      </c>
      <c r="Z41" s="63"/>
      <c r="AA41" s="63"/>
      <c r="AB41" s="63">
        <v>0</v>
      </c>
      <c r="AC41" s="63"/>
      <c r="AD41" s="62">
        <f>AG41</f>
        <v>0</v>
      </c>
      <c r="AE41" s="63"/>
      <c r="AF41" s="63"/>
      <c r="AG41" s="63">
        <v>0</v>
      </c>
      <c r="AH41" s="63"/>
      <c r="AI41" s="62">
        <f>AL41</f>
        <v>0</v>
      </c>
      <c r="AJ41" s="63"/>
      <c r="AK41" s="63"/>
      <c r="AL41" s="63">
        <v>0</v>
      </c>
      <c r="AM41" s="63"/>
    </row>
    <row r="42" spans="1:39" ht="25.5" customHeight="1" outlineLevel="3" x14ac:dyDescent="0.25">
      <c r="A42" s="70" t="s">
        <v>177</v>
      </c>
      <c r="B42" s="204" t="s">
        <v>350</v>
      </c>
      <c r="C42" s="205"/>
      <c r="D42" s="206"/>
      <c r="E42" s="18">
        <f>SUM(E43)</f>
        <v>2774.6</v>
      </c>
      <c r="F42" s="18">
        <f t="shared" ref="F42:AL42" si="97">SUM(F43)</f>
        <v>0</v>
      </c>
      <c r="G42" s="18">
        <f t="shared" si="97"/>
        <v>0</v>
      </c>
      <c r="H42" s="3">
        <f t="shared" si="97"/>
        <v>2774.6</v>
      </c>
      <c r="I42" s="18">
        <f t="shared" si="97"/>
        <v>0</v>
      </c>
      <c r="J42" s="18">
        <f t="shared" si="97"/>
        <v>0</v>
      </c>
      <c r="K42" s="18">
        <f t="shared" si="97"/>
        <v>0</v>
      </c>
      <c r="L42" s="18">
        <f t="shared" si="97"/>
        <v>0</v>
      </c>
      <c r="M42" s="18">
        <f t="shared" si="97"/>
        <v>0</v>
      </c>
      <c r="N42" s="18">
        <f t="shared" si="97"/>
        <v>0</v>
      </c>
      <c r="O42" s="18">
        <f t="shared" si="97"/>
        <v>0</v>
      </c>
      <c r="P42" s="18">
        <f t="shared" si="97"/>
        <v>0</v>
      </c>
      <c r="Q42" s="18">
        <f t="shared" si="97"/>
        <v>0</v>
      </c>
      <c r="R42" s="3">
        <f t="shared" si="97"/>
        <v>0</v>
      </c>
      <c r="S42" s="20">
        <f t="shared" si="97"/>
        <v>0</v>
      </c>
      <c r="T42" s="20">
        <f t="shared" si="97"/>
        <v>2774.6</v>
      </c>
      <c r="U42" s="20">
        <f t="shared" si="97"/>
        <v>0</v>
      </c>
      <c r="V42" s="20">
        <f t="shared" si="97"/>
        <v>0</v>
      </c>
      <c r="W42" s="20">
        <f t="shared" si="97"/>
        <v>2774.6</v>
      </c>
      <c r="X42" s="20">
        <f t="shared" si="97"/>
        <v>0</v>
      </c>
      <c r="Y42" s="20">
        <f t="shared" si="97"/>
        <v>0</v>
      </c>
      <c r="Z42" s="20">
        <f t="shared" si="97"/>
        <v>0</v>
      </c>
      <c r="AA42" s="20">
        <f t="shared" si="97"/>
        <v>0</v>
      </c>
      <c r="AB42" s="20">
        <f t="shared" si="97"/>
        <v>0</v>
      </c>
      <c r="AC42" s="20">
        <f t="shared" si="97"/>
        <v>0</v>
      </c>
      <c r="AD42" s="20">
        <f t="shared" si="97"/>
        <v>0</v>
      </c>
      <c r="AE42" s="20">
        <f t="shared" si="97"/>
        <v>0</v>
      </c>
      <c r="AF42" s="20">
        <f t="shared" si="97"/>
        <v>0</v>
      </c>
      <c r="AG42" s="20">
        <f t="shared" si="97"/>
        <v>0</v>
      </c>
      <c r="AH42" s="20">
        <f t="shared" si="97"/>
        <v>0</v>
      </c>
      <c r="AI42" s="20">
        <f t="shared" si="97"/>
        <v>0</v>
      </c>
      <c r="AJ42" s="20">
        <f t="shared" si="97"/>
        <v>0</v>
      </c>
      <c r="AK42" s="20">
        <f t="shared" si="97"/>
        <v>0</v>
      </c>
      <c r="AL42" s="20">
        <f t="shared" si="97"/>
        <v>0</v>
      </c>
      <c r="AM42" s="63"/>
    </row>
    <row r="43" spans="1:39" ht="69" customHeight="1" outlineLevel="3" x14ac:dyDescent="0.25">
      <c r="A43" s="70" t="s">
        <v>179</v>
      </c>
      <c r="B43" s="71" t="s">
        <v>178</v>
      </c>
      <c r="C43" s="72" t="s">
        <v>66</v>
      </c>
      <c r="D43" s="72" t="s">
        <v>36</v>
      </c>
      <c r="E43" s="18">
        <f t="shared" si="95"/>
        <v>2774.6</v>
      </c>
      <c r="F43" s="3"/>
      <c r="G43" s="3"/>
      <c r="H43" s="3">
        <f>M43+R43+W43+AB43+AG43+AL43</f>
        <v>2774.6</v>
      </c>
      <c r="I43" s="3"/>
      <c r="J43" s="73">
        <f>M43</f>
        <v>0</v>
      </c>
      <c r="K43" s="64"/>
      <c r="L43" s="64"/>
      <c r="M43" s="64">
        <v>0</v>
      </c>
      <c r="N43" s="64"/>
      <c r="O43" s="73">
        <f>R43</f>
        <v>0</v>
      </c>
      <c r="P43" s="64"/>
      <c r="Q43" s="64"/>
      <c r="R43" s="63">
        <v>0</v>
      </c>
      <c r="S43" s="63"/>
      <c r="T43" s="62">
        <f>W43</f>
        <v>2774.6</v>
      </c>
      <c r="U43" s="63"/>
      <c r="V43" s="63"/>
      <c r="W43" s="63">
        <v>2774.6</v>
      </c>
      <c r="X43" s="63"/>
      <c r="Y43" s="62">
        <f>AB43</f>
        <v>0</v>
      </c>
      <c r="Z43" s="63"/>
      <c r="AA43" s="63"/>
      <c r="AB43" s="63">
        <v>0</v>
      </c>
      <c r="AC43" s="63"/>
      <c r="AD43" s="62">
        <f>AG43</f>
        <v>0</v>
      </c>
      <c r="AE43" s="63"/>
      <c r="AF43" s="63"/>
      <c r="AG43" s="63">
        <v>0</v>
      </c>
      <c r="AH43" s="63"/>
      <c r="AI43" s="62">
        <f>AL43</f>
        <v>0</v>
      </c>
      <c r="AJ43" s="63"/>
      <c r="AK43" s="63"/>
      <c r="AL43" s="63">
        <v>0</v>
      </c>
      <c r="AM43" s="63"/>
    </row>
    <row r="44" spans="1:39" s="54" customFormat="1" ht="47.25" customHeight="1" outlineLevel="1" x14ac:dyDescent="0.25">
      <c r="A44" s="57">
        <v>3</v>
      </c>
      <c r="B44" s="195" t="s">
        <v>17</v>
      </c>
      <c r="C44" s="195"/>
      <c r="D44" s="195"/>
      <c r="E44" s="58">
        <f>SUM(E45:E46)</f>
        <v>427696.99999999994</v>
      </c>
      <c r="F44" s="58">
        <f t="shared" ref="F44:AM44" si="98">SUM(F45:F46)</f>
        <v>0</v>
      </c>
      <c r="G44" s="58">
        <f t="shared" si="98"/>
        <v>0</v>
      </c>
      <c r="H44" s="58">
        <f t="shared" si="98"/>
        <v>427696.99999999994</v>
      </c>
      <c r="I44" s="58">
        <f t="shared" si="98"/>
        <v>0</v>
      </c>
      <c r="J44" s="58">
        <f t="shared" si="98"/>
        <v>63428</v>
      </c>
      <c r="K44" s="58">
        <f t="shared" si="98"/>
        <v>0</v>
      </c>
      <c r="L44" s="58">
        <f t="shared" si="98"/>
        <v>0</v>
      </c>
      <c r="M44" s="58">
        <f t="shared" si="98"/>
        <v>63428</v>
      </c>
      <c r="N44" s="58">
        <f t="shared" si="98"/>
        <v>0</v>
      </c>
      <c r="O44" s="58">
        <f>SUM(O45:O46)</f>
        <v>79860.600000000006</v>
      </c>
      <c r="P44" s="58">
        <f t="shared" si="98"/>
        <v>0</v>
      </c>
      <c r="Q44" s="58">
        <f t="shared" si="98"/>
        <v>0</v>
      </c>
      <c r="R44" s="58">
        <f>SUM(R45:R46)</f>
        <v>79860.600000000006</v>
      </c>
      <c r="S44" s="58">
        <f t="shared" si="98"/>
        <v>0</v>
      </c>
      <c r="T44" s="58">
        <f t="shared" si="98"/>
        <v>71075.399999999994</v>
      </c>
      <c r="U44" s="58">
        <f t="shared" si="98"/>
        <v>0</v>
      </c>
      <c r="V44" s="58">
        <f t="shared" si="98"/>
        <v>0</v>
      </c>
      <c r="W44" s="58">
        <f t="shared" si="98"/>
        <v>71075.399999999994</v>
      </c>
      <c r="X44" s="58">
        <f t="shared" si="98"/>
        <v>0</v>
      </c>
      <c r="Y44" s="58">
        <f t="shared" si="98"/>
        <v>71111</v>
      </c>
      <c r="Z44" s="58">
        <f t="shared" si="98"/>
        <v>0</v>
      </c>
      <c r="AA44" s="58">
        <f t="shared" si="98"/>
        <v>0</v>
      </c>
      <c r="AB44" s="58">
        <f t="shared" si="98"/>
        <v>71111</v>
      </c>
      <c r="AC44" s="58">
        <f t="shared" si="98"/>
        <v>0</v>
      </c>
      <c r="AD44" s="58">
        <f t="shared" si="98"/>
        <v>71111</v>
      </c>
      <c r="AE44" s="58">
        <f t="shared" si="98"/>
        <v>0</v>
      </c>
      <c r="AF44" s="58">
        <f t="shared" si="98"/>
        <v>0</v>
      </c>
      <c r="AG44" s="58">
        <f t="shared" si="98"/>
        <v>71111</v>
      </c>
      <c r="AH44" s="58">
        <f t="shared" si="98"/>
        <v>0</v>
      </c>
      <c r="AI44" s="58">
        <f t="shared" si="98"/>
        <v>71111</v>
      </c>
      <c r="AJ44" s="58">
        <f t="shared" si="98"/>
        <v>0</v>
      </c>
      <c r="AK44" s="58">
        <f t="shared" si="98"/>
        <v>0</v>
      </c>
      <c r="AL44" s="58">
        <f t="shared" si="98"/>
        <v>71111</v>
      </c>
      <c r="AM44" s="58">
        <f t="shared" si="98"/>
        <v>0</v>
      </c>
    </row>
    <row r="45" spans="1:39" ht="110.25" outlineLevel="2" x14ac:dyDescent="0.25">
      <c r="A45" s="61" t="s">
        <v>51</v>
      </c>
      <c r="B45" s="1" t="s">
        <v>11</v>
      </c>
      <c r="C45" s="6" t="s">
        <v>109</v>
      </c>
      <c r="D45" s="6" t="s">
        <v>6</v>
      </c>
      <c r="E45" s="18">
        <f>SUM(F45:I45)</f>
        <v>414320.69999999995</v>
      </c>
      <c r="F45" s="3">
        <f t="shared" ref="F45:G46" si="99">K45+P45+U45</f>
        <v>0</v>
      </c>
      <c r="G45" s="3">
        <f t="shared" si="99"/>
        <v>0</v>
      </c>
      <c r="H45" s="3">
        <f>M45+R45+W45+AB45+AG45+AL45</f>
        <v>414320.69999999995</v>
      </c>
      <c r="I45" s="3">
        <f t="shared" ref="I45:I46" si="100">N45+S45+X45</f>
        <v>0</v>
      </c>
      <c r="J45" s="62">
        <f t="shared" ref="J45:J46" si="101">SUM(K45:N45)</f>
        <v>62002.8</v>
      </c>
      <c r="K45" s="63"/>
      <c r="L45" s="63"/>
      <c r="M45" s="63">
        <v>62002.8</v>
      </c>
      <c r="N45" s="63"/>
      <c r="O45" s="62">
        <f t="shared" ref="O45:O46" si="102">SUM(P45:S45)</f>
        <v>77317.5</v>
      </c>
      <c r="P45" s="63"/>
      <c r="Q45" s="63"/>
      <c r="R45" s="149">
        <f>73084.1+1184-400+1400+961.9+1087.5</f>
        <v>77317.5</v>
      </c>
      <c r="S45" s="63"/>
      <c r="T45" s="62">
        <f>SUM(U45:X45)</f>
        <v>68723.399999999994</v>
      </c>
      <c r="U45" s="63"/>
      <c r="V45" s="63"/>
      <c r="W45" s="63">
        <v>68723.399999999994</v>
      </c>
      <c r="X45" s="63"/>
      <c r="Y45" s="62">
        <f t="shared" ref="Y45:Y46" si="103">SUM(Z45:AC45)</f>
        <v>68759</v>
      </c>
      <c r="Z45" s="63"/>
      <c r="AA45" s="63"/>
      <c r="AB45" s="63">
        <v>68759</v>
      </c>
      <c r="AC45" s="63"/>
      <c r="AD45" s="62">
        <f t="shared" ref="AD45:AD46" si="104">SUM(AE45:AH45)</f>
        <v>68759</v>
      </c>
      <c r="AE45" s="63"/>
      <c r="AF45" s="63"/>
      <c r="AG45" s="63">
        <v>68759</v>
      </c>
      <c r="AH45" s="63"/>
      <c r="AI45" s="62">
        <f t="shared" ref="AI45:AI46" si="105">SUM(AJ45:AM45)</f>
        <v>68759</v>
      </c>
      <c r="AJ45" s="63"/>
      <c r="AK45" s="63"/>
      <c r="AL45" s="63">
        <v>68759</v>
      </c>
      <c r="AM45" s="64"/>
    </row>
    <row r="46" spans="1:39" ht="110.25" outlineLevel="2" x14ac:dyDescent="0.25">
      <c r="A46" s="61" t="s">
        <v>52</v>
      </c>
      <c r="B46" s="1" t="s">
        <v>12</v>
      </c>
      <c r="C46" s="6" t="s">
        <v>109</v>
      </c>
      <c r="D46" s="6" t="s">
        <v>6</v>
      </c>
      <c r="E46" s="18">
        <f t="shared" ref="E46" si="106">SUM(F46:I46)</f>
        <v>13376.3</v>
      </c>
      <c r="F46" s="3">
        <f t="shared" si="99"/>
        <v>0</v>
      </c>
      <c r="G46" s="3">
        <f t="shared" si="99"/>
        <v>0</v>
      </c>
      <c r="H46" s="3">
        <f>M46+R46+W46+AB46+AG46+AL46</f>
        <v>13376.3</v>
      </c>
      <c r="I46" s="3">
        <f t="shared" si="100"/>
        <v>0</v>
      </c>
      <c r="J46" s="62">
        <f t="shared" si="101"/>
        <v>1425.2</v>
      </c>
      <c r="K46" s="63"/>
      <c r="L46" s="63"/>
      <c r="M46" s="63">
        <v>1425.2</v>
      </c>
      <c r="N46" s="63"/>
      <c r="O46" s="62">
        <f t="shared" si="102"/>
        <v>2543.1</v>
      </c>
      <c r="P46" s="63"/>
      <c r="Q46" s="63"/>
      <c r="R46" s="63">
        <f>3543.1-1000</f>
        <v>2543.1</v>
      </c>
      <c r="S46" s="63"/>
      <c r="T46" s="62">
        <f t="shared" ref="T46" si="107">SUM(U46:X46)</f>
        <v>2352</v>
      </c>
      <c r="U46" s="63"/>
      <c r="V46" s="63"/>
      <c r="W46" s="63">
        <v>2352</v>
      </c>
      <c r="X46" s="63"/>
      <c r="Y46" s="62">
        <f t="shared" si="103"/>
        <v>2352</v>
      </c>
      <c r="Z46" s="63"/>
      <c r="AA46" s="63"/>
      <c r="AB46" s="63">
        <v>2352</v>
      </c>
      <c r="AC46" s="63"/>
      <c r="AD46" s="62">
        <f t="shared" si="104"/>
        <v>2352</v>
      </c>
      <c r="AE46" s="63"/>
      <c r="AF46" s="63"/>
      <c r="AG46" s="63">
        <v>2352</v>
      </c>
      <c r="AH46" s="63"/>
      <c r="AI46" s="62">
        <f t="shared" si="105"/>
        <v>2352</v>
      </c>
      <c r="AJ46" s="63"/>
      <c r="AK46" s="63"/>
      <c r="AL46" s="63">
        <v>2352</v>
      </c>
      <c r="AM46" s="64"/>
    </row>
    <row r="47" spans="1:39" s="54" customFormat="1" ht="47.25" customHeight="1" outlineLevel="1" x14ac:dyDescent="0.25">
      <c r="A47" s="57">
        <v>4</v>
      </c>
      <c r="B47" s="195" t="s">
        <v>18</v>
      </c>
      <c r="C47" s="195"/>
      <c r="D47" s="195"/>
      <c r="E47" s="58">
        <f>SUM(E48:E51)</f>
        <v>16210.1</v>
      </c>
      <c r="F47" s="58">
        <f t="shared" ref="F47:AM47" si="108">SUM(F48:F51)</f>
        <v>0</v>
      </c>
      <c r="G47" s="58">
        <f t="shared" si="108"/>
        <v>0</v>
      </c>
      <c r="H47" s="58">
        <f t="shared" si="108"/>
        <v>16210.1</v>
      </c>
      <c r="I47" s="58">
        <f t="shared" si="108"/>
        <v>0</v>
      </c>
      <c r="J47" s="58">
        <f t="shared" si="108"/>
        <v>2129.9</v>
      </c>
      <c r="K47" s="58">
        <f t="shared" si="108"/>
        <v>0</v>
      </c>
      <c r="L47" s="58">
        <f t="shared" si="108"/>
        <v>0</v>
      </c>
      <c r="M47" s="58">
        <f t="shared" si="108"/>
        <v>2129.9</v>
      </c>
      <c r="N47" s="58">
        <f t="shared" si="108"/>
        <v>0</v>
      </c>
      <c r="O47" s="58">
        <f t="shared" si="108"/>
        <v>2752.9</v>
      </c>
      <c r="P47" s="58">
        <f t="shared" si="108"/>
        <v>0</v>
      </c>
      <c r="Q47" s="58">
        <f t="shared" si="108"/>
        <v>0</v>
      </c>
      <c r="R47" s="58">
        <f t="shared" si="108"/>
        <v>2752.9</v>
      </c>
      <c r="S47" s="58">
        <f t="shared" si="108"/>
        <v>0</v>
      </c>
      <c r="T47" s="58">
        <f t="shared" si="108"/>
        <v>3003.5</v>
      </c>
      <c r="U47" s="58">
        <f t="shared" si="108"/>
        <v>0</v>
      </c>
      <c r="V47" s="58">
        <f t="shared" si="108"/>
        <v>0</v>
      </c>
      <c r="W47" s="58">
        <f t="shared" si="108"/>
        <v>3003.5</v>
      </c>
      <c r="X47" s="58">
        <f t="shared" si="108"/>
        <v>0</v>
      </c>
      <c r="Y47" s="58">
        <f t="shared" si="108"/>
        <v>2774.6</v>
      </c>
      <c r="Z47" s="58">
        <f t="shared" si="108"/>
        <v>0</v>
      </c>
      <c r="AA47" s="58">
        <f t="shared" si="108"/>
        <v>0</v>
      </c>
      <c r="AB47" s="58">
        <f t="shared" si="108"/>
        <v>2774.6</v>
      </c>
      <c r="AC47" s="58">
        <f t="shared" si="108"/>
        <v>0</v>
      </c>
      <c r="AD47" s="58">
        <f t="shared" si="108"/>
        <v>2774.6</v>
      </c>
      <c r="AE47" s="58">
        <f t="shared" si="108"/>
        <v>0</v>
      </c>
      <c r="AF47" s="58">
        <f t="shared" si="108"/>
        <v>0</v>
      </c>
      <c r="AG47" s="58">
        <f t="shared" si="108"/>
        <v>2774.6</v>
      </c>
      <c r="AH47" s="58">
        <f t="shared" si="108"/>
        <v>0</v>
      </c>
      <c r="AI47" s="58">
        <f t="shared" si="108"/>
        <v>2774.6</v>
      </c>
      <c r="AJ47" s="58">
        <f t="shared" si="108"/>
        <v>0</v>
      </c>
      <c r="AK47" s="58">
        <f t="shared" si="108"/>
        <v>0</v>
      </c>
      <c r="AL47" s="58">
        <f t="shared" si="108"/>
        <v>2774.6</v>
      </c>
      <c r="AM47" s="58">
        <f t="shared" si="108"/>
        <v>0</v>
      </c>
    </row>
    <row r="48" spans="1:39" ht="127.5" customHeight="1" outlineLevel="2" x14ac:dyDescent="0.25">
      <c r="A48" s="61" t="s">
        <v>53</v>
      </c>
      <c r="B48" s="1" t="s">
        <v>13</v>
      </c>
      <c r="C48" s="5" t="s">
        <v>66</v>
      </c>
      <c r="D48" s="5" t="s">
        <v>66</v>
      </c>
      <c r="E48" s="18">
        <f t="shared" ref="E48:E51" si="109">SUM(F48:I48)</f>
        <v>5382.4</v>
      </c>
      <c r="F48" s="3">
        <f t="shared" ref="F48:G51" si="110">K48+P48+U48</f>
        <v>0</v>
      </c>
      <c r="G48" s="3">
        <f t="shared" si="110"/>
        <v>0</v>
      </c>
      <c r="H48" s="3">
        <f>M48+R48+W48+AB48+AG48+AL48</f>
        <v>5382.4</v>
      </c>
      <c r="I48" s="3">
        <f t="shared" ref="I48:I51" si="111">N48+S48+X48</f>
        <v>0</v>
      </c>
      <c r="J48" s="62">
        <f t="shared" ref="J48:J51" si="112">SUM(K48:N48)</f>
        <v>659.6</v>
      </c>
      <c r="K48" s="63"/>
      <c r="L48" s="63"/>
      <c r="M48" s="63">
        <f>449.2+210.4</f>
        <v>659.6</v>
      </c>
      <c r="N48" s="63"/>
      <c r="O48" s="62">
        <f t="shared" ref="O48:O51" si="113">SUM(P48:S48)</f>
        <v>982.30000000000007</v>
      </c>
      <c r="P48" s="63"/>
      <c r="Q48" s="63"/>
      <c r="R48" s="63">
        <f>794.7+187.6</f>
        <v>982.30000000000007</v>
      </c>
      <c r="S48" s="63"/>
      <c r="T48" s="62">
        <f t="shared" ref="T48:T51" si="114">SUM(U48:X48)</f>
        <v>1162</v>
      </c>
      <c r="U48" s="63"/>
      <c r="V48" s="63"/>
      <c r="W48" s="63">
        <f>826.4+335.6</f>
        <v>1162</v>
      </c>
      <c r="X48" s="63"/>
      <c r="Y48" s="62">
        <f t="shared" ref="Y48:Y49" si="115">SUM(Z48:AC48)</f>
        <v>859.5</v>
      </c>
      <c r="Z48" s="63"/>
      <c r="AA48" s="63"/>
      <c r="AB48" s="63">
        <f>859.5</f>
        <v>859.5</v>
      </c>
      <c r="AC48" s="63"/>
      <c r="AD48" s="62">
        <f t="shared" ref="AD48:AD49" si="116">SUM(AE48:AH48)</f>
        <v>859.5</v>
      </c>
      <c r="AE48" s="63"/>
      <c r="AF48" s="63"/>
      <c r="AG48" s="63">
        <v>859.5</v>
      </c>
      <c r="AH48" s="63"/>
      <c r="AI48" s="62">
        <f t="shared" ref="AI48:AI49" si="117">SUM(AJ48:AM48)</f>
        <v>859.5</v>
      </c>
      <c r="AJ48" s="63"/>
      <c r="AK48" s="63"/>
      <c r="AL48" s="63">
        <v>859.5</v>
      </c>
      <c r="AM48" s="64"/>
    </row>
    <row r="49" spans="1:39" ht="110.25" outlineLevel="2" x14ac:dyDescent="0.25">
      <c r="A49" s="61" t="s">
        <v>54</v>
      </c>
      <c r="B49" s="1" t="s">
        <v>14</v>
      </c>
      <c r="C49" s="6" t="s">
        <v>109</v>
      </c>
      <c r="D49" s="6" t="s">
        <v>6</v>
      </c>
      <c r="E49" s="18">
        <f t="shared" si="109"/>
        <v>9907.3000000000011</v>
      </c>
      <c r="F49" s="3">
        <f t="shared" si="110"/>
        <v>0</v>
      </c>
      <c r="G49" s="3">
        <f t="shared" si="110"/>
        <v>0</v>
      </c>
      <c r="H49" s="3">
        <f t="shared" ref="H49:H51" si="118">M49+R49+W49+AB49+AG49+AL49</f>
        <v>9907.3000000000011</v>
      </c>
      <c r="I49" s="3">
        <f t="shared" si="111"/>
        <v>0</v>
      </c>
      <c r="J49" s="62">
        <f t="shared" si="112"/>
        <v>1263.3</v>
      </c>
      <c r="K49" s="63"/>
      <c r="L49" s="63"/>
      <c r="M49" s="63">
        <f>1263.3</f>
        <v>1263.3</v>
      </c>
      <c r="N49" s="63"/>
      <c r="O49" s="62">
        <f t="shared" si="113"/>
        <v>1635.6</v>
      </c>
      <c r="P49" s="63"/>
      <c r="Q49" s="63"/>
      <c r="R49" s="63">
        <v>1635.6</v>
      </c>
      <c r="S49" s="63"/>
      <c r="T49" s="62">
        <f t="shared" si="114"/>
        <v>1701.1</v>
      </c>
      <c r="U49" s="63"/>
      <c r="V49" s="63"/>
      <c r="W49" s="63">
        <v>1701.1</v>
      </c>
      <c r="X49" s="63"/>
      <c r="Y49" s="62">
        <f t="shared" si="115"/>
        <v>1769.1</v>
      </c>
      <c r="Z49" s="63"/>
      <c r="AA49" s="63"/>
      <c r="AB49" s="63">
        <v>1769.1</v>
      </c>
      <c r="AC49" s="63"/>
      <c r="AD49" s="62">
        <f t="shared" si="116"/>
        <v>1769.1</v>
      </c>
      <c r="AE49" s="63"/>
      <c r="AF49" s="63"/>
      <c r="AG49" s="63">
        <v>1769.1</v>
      </c>
      <c r="AH49" s="63"/>
      <c r="AI49" s="62">
        <f t="shared" si="117"/>
        <v>1769.1</v>
      </c>
      <c r="AJ49" s="63"/>
      <c r="AK49" s="63"/>
      <c r="AL49" s="63">
        <v>1769.1</v>
      </c>
      <c r="AM49" s="64"/>
    </row>
    <row r="50" spans="1:39" ht="47.25" customHeight="1" outlineLevel="2" x14ac:dyDescent="0.25">
      <c r="A50" s="61" t="s">
        <v>55</v>
      </c>
      <c r="B50" s="1" t="s">
        <v>90</v>
      </c>
      <c r="C50" s="5" t="s">
        <v>66</v>
      </c>
      <c r="D50" s="5" t="s">
        <v>66</v>
      </c>
      <c r="E50" s="18">
        <f t="shared" si="109"/>
        <v>848.4</v>
      </c>
      <c r="F50" s="3">
        <f t="shared" si="110"/>
        <v>0</v>
      </c>
      <c r="G50" s="3">
        <f t="shared" si="110"/>
        <v>0</v>
      </c>
      <c r="H50" s="3">
        <f t="shared" si="118"/>
        <v>848.4</v>
      </c>
      <c r="I50" s="3">
        <f t="shared" si="111"/>
        <v>0</v>
      </c>
      <c r="J50" s="62">
        <f t="shared" si="112"/>
        <v>135</v>
      </c>
      <c r="K50" s="63"/>
      <c r="L50" s="63"/>
      <c r="M50" s="63">
        <f>85+50</f>
        <v>135</v>
      </c>
      <c r="N50" s="63"/>
      <c r="O50" s="62">
        <f t="shared" ref="O50" si="119">SUM(P50:S50)</f>
        <v>135</v>
      </c>
      <c r="P50" s="63"/>
      <c r="Q50" s="63"/>
      <c r="R50" s="63">
        <v>135</v>
      </c>
      <c r="S50" s="63"/>
      <c r="T50" s="62">
        <f t="shared" ref="T50" si="120">SUM(U50:X50)</f>
        <v>140.4</v>
      </c>
      <c r="U50" s="63"/>
      <c r="V50" s="63"/>
      <c r="W50" s="63">
        <v>140.4</v>
      </c>
      <c r="X50" s="63"/>
      <c r="Y50" s="62">
        <f t="shared" ref="Y50:Y51" si="121">SUM(Z50:AC50)</f>
        <v>146</v>
      </c>
      <c r="Z50" s="63"/>
      <c r="AA50" s="63"/>
      <c r="AB50" s="63">
        <v>146</v>
      </c>
      <c r="AC50" s="63"/>
      <c r="AD50" s="62">
        <f t="shared" ref="AD50:AD51" si="122">SUM(AE50:AH50)</f>
        <v>146</v>
      </c>
      <c r="AE50" s="63"/>
      <c r="AF50" s="63"/>
      <c r="AG50" s="63">
        <v>146</v>
      </c>
      <c r="AH50" s="63"/>
      <c r="AI50" s="62">
        <f t="shared" ref="AI50:AI51" si="123">SUM(AJ50:AM50)</f>
        <v>146</v>
      </c>
      <c r="AJ50" s="63"/>
      <c r="AK50" s="63"/>
      <c r="AL50" s="63">
        <v>146</v>
      </c>
      <c r="AM50" s="64"/>
    </row>
    <row r="51" spans="1:39" ht="47.25" customHeight="1" outlineLevel="2" x14ac:dyDescent="0.25">
      <c r="A51" s="61" t="s">
        <v>56</v>
      </c>
      <c r="B51" s="1" t="s">
        <v>91</v>
      </c>
      <c r="C51" s="5" t="s">
        <v>66</v>
      </c>
      <c r="D51" s="5" t="s">
        <v>66</v>
      </c>
      <c r="E51" s="18">
        <f t="shared" si="109"/>
        <v>72</v>
      </c>
      <c r="F51" s="3">
        <f t="shared" si="110"/>
        <v>0</v>
      </c>
      <c r="G51" s="3">
        <f t="shared" si="110"/>
        <v>0</v>
      </c>
      <c r="H51" s="3">
        <f t="shared" si="118"/>
        <v>72</v>
      </c>
      <c r="I51" s="3">
        <f t="shared" si="111"/>
        <v>0</v>
      </c>
      <c r="J51" s="62">
        <f t="shared" si="112"/>
        <v>72</v>
      </c>
      <c r="K51" s="63"/>
      <c r="L51" s="63"/>
      <c r="M51" s="63">
        <v>72</v>
      </c>
      <c r="N51" s="63"/>
      <c r="O51" s="62">
        <f t="shared" si="113"/>
        <v>0</v>
      </c>
      <c r="P51" s="63"/>
      <c r="Q51" s="63"/>
      <c r="R51" s="63">
        <v>0</v>
      </c>
      <c r="S51" s="63"/>
      <c r="T51" s="62">
        <f t="shared" si="114"/>
        <v>0</v>
      </c>
      <c r="U51" s="63"/>
      <c r="V51" s="63"/>
      <c r="W51" s="63">
        <v>0</v>
      </c>
      <c r="X51" s="63"/>
      <c r="Y51" s="62">
        <f t="shared" si="121"/>
        <v>0</v>
      </c>
      <c r="Z51" s="63"/>
      <c r="AA51" s="63"/>
      <c r="AB51" s="63">
        <v>0</v>
      </c>
      <c r="AC51" s="63"/>
      <c r="AD51" s="62">
        <f t="shared" si="122"/>
        <v>0</v>
      </c>
      <c r="AE51" s="63"/>
      <c r="AF51" s="63"/>
      <c r="AG51" s="63">
        <v>0</v>
      </c>
      <c r="AH51" s="63"/>
      <c r="AI51" s="62">
        <f t="shared" si="123"/>
        <v>0</v>
      </c>
      <c r="AJ51" s="63"/>
      <c r="AK51" s="63"/>
      <c r="AL51" s="63">
        <v>0</v>
      </c>
      <c r="AM51" s="64"/>
    </row>
    <row r="52" spans="1:39" s="54" customFormat="1" ht="47.25" customHeight="1" outlineLevel="1" x14ac:dyDescent="0.25">
      <c r="A52" s="57">
        <v>5</v>
      </c>
      <c r="B52" s="195" t="s">
        <v>19</v>
      </c>
      <c r="C52" s="195"/>
      <c r="D52" s="195"/>
      <c r="E52" s="58">
        <f t="shared" ref="E52:W52" si="124">SUM(E53:E57)</f>
        <v>11099.5</v>
      </c>
      <c r="F52" s="58">
        <f t="shared" si="124"/>
        <v>0</v>
      </c>
      <c r="G52" s="58">
        <f t="shared" si="124"/>
        <v>0</v>
      </c>
      <c r="H52" s="58">
        <f t="shared" si="124"/>
        <v>11099.5</v>
      </c>
      <c r="I52" s="58">
        <f t="shared" si="124"/>
        <v>0</v>
      </c>
      <c r="J52" s="58">
        <f t="shared" si="124"/>
        <v>2183.7000000000003</v>
      </c>
      <c r="K52" s="58">
        <f t="shared" si="124"/>
        <v>0</v>
      </c>
      <c r="L52" s="58">
        <f t="shared" si="124"/>
        <v>0</v>
      </c>
      <c r="M52" s="58">
        <f t="shared" si="124"/>
        <v>2183.7000000000003</v>
      </c>
      <c r="N52" s="58">
        <f t="shared" si="124"/>
        <v>0</v>
      </c>
      <c r="O52" s="58">
        <f t="shared" si="124"/>
        <v>3258.3</v>
      </c>
      <c r="P52" s="58">
        <f t="shared" si="124"/>
        <v>0</v>
      </c>
      <c r="Q52" s="58">
        <f t="shared" si="124"/>
        <v>0</v>
      </c>
      <c r="R52" s="58">
        <f t="shared" si="124"/>
        <v>3258.3</v>
      </c>
      <c r="S52" s="58">
        <f t="shared" si="124"/>
        <v>0</v>
      </c>
      <c r="T52" s="58">
        <f t="shared" si="124"/>
        <v>2512.6</v>
      </c>
      <c r="U52" s="58">
        <f t="shared" si="124"/>
        <v>0</v>
      </c>
      <c r="V52" s="58">
        <f t="shared" si="124"/>
        <v>0</v>
      </c>
      <c r="W52" s="58">
        <f t="shared" si="124"/>
        <v>2512.6</v>
      </c>
      <c r="X52" s="58">
        <f>SUM(X53:X56)</f>
        <v>0</v>
      </c>
      <c r="Y52" s="58">
        <f>SUM(Y53:Y57)</f>
        <v>1048.3</v>
      </c>
      <c r="Z52" s="58">
        <f>SUM(Z53:Z57)</f>
        <v>0</v>
      </c>
      <c r="AA52" s="58">
        <f>SUM(AA53:AA57)</f>
        <v>0</v>
      </c>
      <c r="AB52" s="58">
        <f>SUM(AB53:AB57)</f>
        <v>1048.3</v>
      </c>
      <c r="AC52" s="58">
        <f>SUM(AC53:AC56)</f>
        <v>0</v>
      </c>
      <c r="AD52" s="58">
        <f>SUM(AD53:AD57)</f>
        <v>1048.3</v>
      </c>
      <c r="AE52" s="58">
        <f>SUM(AE53:AE57)</f>
        <v>0</v>
      </c>
      <c r="AF52" s="58">
        <f>SUM(AF53:AF57)</f>
        <v>0</v>
      </c>
      <c r="AG52" s="58">
        <f>SUM(AG53:AG57)</f>
        <v>1048.3</v>
      </c>
      <c r="AH52" s="58">
        <f>SUM(AH53:AH56)</f>
        <v>0</v>
      </c>
      <c r="AI52" s="58">
        <f>SUM(AI53:AI57)</f>
        <v>1048.3</v>
      </c>
      <c r="AJ52" s="58">
        <f>SUM(AJ53:AJ57)</f>
        <v>0</v>
      </c>
      <c r="AK52" s="58">
        <f>SUM(AK53:AK57)</f>
        <v>0</v>
      </c>
      <c r="AL52" s="58">
        <f>SUM(AL53:AL57)</f>
        <v>1048.3</v>
      </c>
      <c r="AM52" s="58">
        <f>SUM(AM53:AM56)</f>
        <v>0</v>
      </c>
    </row>
    <row r="53" spans="1:39" ht="47.25" customHeight="1" outlineLevel="3" x14ac:dyDescent="0.25">
      <c r="A53" s="61" t="s">
        <v>24</v>
      </c>
      <c r="B53" s="1" t="s">
        <v>85</v>
      </c>
      <c r="C53" s="5" t="s">
        <v>66</v>
      </c>
      <c r="D53" s="5" t="s">
        <v>66</v>
      </c>
      <c r="E53" s="18">
        <f t="shared" ref="E53:E56" si="125">SUM(F53:I53)</f>
        <v>2828.1</v>
      </c>
      <c r="F53" s="3">
        <f t="shared" ref="F53:G56" si="126">K53+P53+U53</f>
        <v>0</v>
      </c>
      <c r="G53" s="3">
        <f t="shared" si="126"/>
        <v>0</v>
      </c>
      <c r="H53" s="3">
        <f>M53+R53+W53+AB53+AG53+AL53</f>
        <v>2828.1</v>
      </c>
      <c r="I53" s="21">
        <f t="shared" ref="I53:I56" si="127">N53+S53+X53</f>
        <v>0</v>
      </c>
      <c r="J53" s="62">
        <f t="shared" ref="J53:J56" si="128">SUM(K53:N53)</f>
        <v>733.7</v>
      </c>
      <c r="K53" s="63"/>
      <c r="L53" s="63"/>
      <c r="M53" s="63">
        <v>733.7</v>
      </c>
      <c r="N53" s="63"/>
      <c r="O53" s="62">
        <f t="shared" ref="O53:O55" si="129">SUM(P53:S53)</f>
        <v>715.4</v>
      </c>
      <c r="P53" s="63"/>
      <c r="Q53" s="63"/>
      <c r="R53" s="63">
        <v>715.4</v>
      </c>
      <c r="S53" s="63"/>
      <c r="T53" s="62">
        <f t="shared" ref="T53:T55" si="130">SUM(U53:X53)</f>
        <v>342.5</v>
      </c>
      <c r="U53" s="63"/>
      <c r="V53" s="63"/>
      <c r="W53" s="63">
        <v>342.5</v>
      </c>
      <c r="X53" s="63"/>
      <c r="Y53" s="62">
        <f t="shared" ref="Y53:Y55" si="131">SUM(Z53:AC53)</f>
        <v>345.5</v>
      </c>
      <c r="Z53" s="63"/>
      <c r="AA53" s="63"/>
      <c r="AB53" s="63">
        <v>345.5</v>
      </c>
      <c r="AC53" s="63"/>
      <c r="AD53" s="62">
        <f t="shared" ref="AD53:AD55" si="132">SUM(AE53:AH53)</f>
        <v>345.5</v>
      </c>
      <c r="AE53" s="63"/>
      <c r="AF53" s="63"/>
      <c r="AG53" s="63">
        <v>345.5</v>
      </c>
      <c r="AH53" s="63"/>
      <c r="AI53" s="62">
        <f t="shared" ref="AI53:AI55" si="133">SUM(AJ53:AM53)</f>
        <v>345.5</v>
      </c>
      <c r="AJ53" s="63"/>
      <c r="AK53" s="63"/>
      <c r="AL53" s="63">
        <v>345.5</v>
      </c>
      <c r="AM53" s="64"/>
    </row>
    <row r="54" spans="1:39" ht="47.25" customHeight="1" outlineLevel="3" x14ac:dyDescent="0.25">
      <c r="A54" s="61" t="s">
        <v>25</v>
      </c>
      <c r="B54" s="1" t="s">
        <v>86</v>
      </c>
      <c r="C54" s="5" t="s">
        <v>66</v>
      </c>
      <c r="D54" s="5" t="s">
        <v>66</v>
      </c>
      <c r="E54" s="18">
        <f>SUM(F54:I54)</f>
        <v>3227.7</v>
      </c>
      <c r="F54" s="3">
        <f t="shared" si="126"/>
        <v>0</v>
      </c>
      <c r="G54" s="3">
        <f t="shared" si="126"/>
        <v>0</v>
      </c>
      <c r="H54" s="3">
        <f t="shared" ref="H54:H58" si="134">M54+R54+W54+AB54+AG54+AL54</f>
        <v>3227.7</v>
      </c>
      <c r="I54" s="21">
        <f t="shared" si="127"/>
        <v>0</v>
      </c>
      <c r="J54" s="62">
        <f t="shared" si="128"/>
        <v>436.5</v>
      </c>
      <c r="K54" s="63"/>
      <c r="L54" s="63"/>
      <c r="M54" s="63">
        <v>436.5</v>
      </c>
      <c r="N54" s="63"/>
      <c r="O54" s="62">
        <f t="shared" si="129"/>
        <v>503.1</v>
      </c>
      <c r="P54" s="63"/>
      <c r="Q54" s="63"/>
      <c r="R54" s="63">
        <v>503.1</v>
      </c>
      <c r="S54" s="63"/>
      <c r="T54" s="62">
        <f t="shared" si="130"/>
        <v>555.6</v>
      </c>
      <c r="U54" s="63"/>
      <c r="V54" s="63"/>
      <c r="W54" s="63">
        <v>555.6</v>
      </c>
      <c r="X54" s="63"/>
      <c r="Y54" s="62">
        <f t="shared" si="131"/>
        <v>577.5</v>
      </c>
      <c r="Z54" s="63"/>
      <c r="AA54" s="63"/>
      <c r="AB54" s="63">
        <v>577.5</v>
      </c>
      <c r="AC54" s="63"/>
      <c r="AD54" s="62">
        <f t="shared" si="132"/>
        <v>577.5</v>
      </c>
      <c r="AE54" s="63"/>
      <c r="AF54" s="63"/>
      <c r="AG54" s="63">
        <v>577.5</v>
      </c>
      <c r="AH54" s="63"/>
      <c r="AI54" s="62">
        <f t="shared" si="133"/>
        <v>577.5</v>
      </c>
      <c r="AJ54" s="63"/>
      <c r="AK54" s="63"/>
      <c r="AL54" s="63">
        <v>577.5</v>
      </c>
      <c r="AM54" s="64"/>
    </row>
    <row r="55" spans="1:39" ht="47.25" customHeight="1" outlineLevel="3" x14ac:dyDescent="0.25">
      <c r="A55" s="61" t="s">
        <v>26</v>
      </c>
      <c r="B55" s="1" t="s">
        <v>87</v>
      </c>
      <c r="C55" s="5" t="s">
        <v>66</v>
      </c>
      <c r="D55" s="5" t="s">
        <v>66</v>
      </c>
      <c r="E55" s="18">
        <f>SUM(F55:I55)</f>
        <v>96</v>
      </c>
      <c r="F55" s="3">
        <f t="shared" si="126"/>
        <v>0</v>
      </c>
      <c r="G55" s="3">
        <f t="shared" si="126"/>
        <v>0</v>
      </c>
      <c r="H55" s="3">
        <f>M55+R55+W55+AB55+AG55+AL55</f>
        <v>96</v>
      </c>
      <c r="I55" s="21">
        <f t="shared" si="127"/>
        <v>0</v>
      </c>
      <c r="J55" s="62">
        <f t="shared" si="128"/>
        <v>96</v>
      </c>
      <c r="K55" s="63"/>
      <c r="L55" s="63"/>
      <c r="M55" s="63">
        <v>96</v>
      </c>
      <c r="N55" s="63"/>
      <c r="O55" s="62">
        <f t="shared" si="129"/>
        <v>0</v>
      </c>
      <c r="P55" s="63"/>
      <c r="Q55" s="63"/>
      <c r="R55" s="63">
        <v>0</v>
      </c>
      <c r="S55" s="63"/>
      <c r="T55" s="62">
        <f t="shared" si="130"/>
        <v>0</v>
      </c>
      <c r="U55" s="63"/>
      <c r="V55" s="63"/>
      <c r="W55" s="63">
        <v>0</v>
      </c>
      <c r="X55" s="63"/>
      <c r="Y55" s="62">
        <f t="shared" si="131"/>
        <v>0</v>
      </c>
      <c r="Z55" s="63"/>
      <c r="AA55" s="63"/>
      <c r="AB55" s="63">
        <v>0</v>
      </c>
      <c r="AC55" s="63"/>
      <c r="AD55" s="62">
        <f t="shared" si="132"/>
        <v>0</v>
      </c>
      <c r="AE55" s="63"/>
      <c r="AF55" s="63"/>
      <c r="AG55" s="63">
        <v>0</v>
      </c>
      <c r="AH55" s="63"/>
      <c r="AI55" s="62">
        <f t="shared" si="133"/>
        <v>0</v>
      </c>
      <c r="AJ55" s="63"/>
      <c r="AK55" s="63"/>
      <c r="AL55" s="63">
        <v>0</v>
      </c>
      <c r="AM55" s="64"/>
    </row>
    <row r="56" spans="1:39" ht="63" customHeight="1" outlineLevel="3" x14ac:dyDescent="0.25">
      <c r="A56" s="61" t="s">
        <v>27</v>
      </c>
      <c r="B56" s="1" t="s">
        <v>88</v>
      </c>
      <c r="C56" s="5" t="s">
        <v>66</v>
      </c>
      <c r="D56" s="5" t="s">
        <v>66</v>
      </c>
      <c r="E56" s="18">
        <f t="shared" si="125"/>
        <v>748</v>
      </c>
      <c r="F56" s="3">
        <f t="shared" si="126"/>
        <v>0</v>
      </c>
      <c r="G56" s="3">
        <f t="shared" si="126"/>
        <v>0</v>
      </c>
      <c r="H56" s="3">
        <f t="shared" si="134"/>
        <v>748</v>
      </c>
      <c r="I56" s="21">
        <f t="shared" si="127"/>
        <v>0</v>
      </c>
      <c r="J56" s="62">
        <f t="shared" si="128"/>
        <v>125.39999999999999</v>
      </c>
      <c r="K56" s="63"/>
      <c r="L56" s="63"/>
      <c r="M56" s="63">
        <f>18.3+92+15.1</f>
        <v>125.39999999999999</v>
      </c>
      <c r="N56" s="63"/>
      <c r="O56" s="62">
        <f t="shared" ref="O56" si="135">SUM(P56:S56)</f>
        <v>122.7</v>
      </c>
      <c r="P56" s="63"/>
      <c r="Q56" s="63"/>
      <c r="R56" s="63">
        <v>122.7</v>
      </c>
      <c r="S56" s="63"/>
      <c r="T56" s="62">
        <f t="shared" ref="T56" si="136">SUM(U56:X56)</f>
        <v>124</v>
      </c>
      <c r="U56" s="63"/>
      <c r="V56" s="63"/>
      <c r="W56" s="63">
        <v>124</v>
      </c>
      <c r="X56" s="63"/>
      <c r="Y56" s="62">
        <f t="shared" ref="Y56" si="137">SUM(Z56:AC56)</f>
        <v>125.3</v>
      </c>
      <c r="Z56" s="63"/>
      <c r="AA56" s="63"/>
      <c r="AB56" s="63">
        <v>125.3</v>
      </c>
      <c r="AC56" s="63"/>
      <c r="AD56" s="62">
        <f t="shared" ref="AD56" si="138">SUM(AE56:AH56)</f>
        <v>125.3</v>
      </c>
      <c r="AE56" s="63"/>
      <c r="AF56" s="63"/>
      <c r="AG56" s="63">
        <v>125.3</v>
      </c>
      <c r="AH56" s="63"/>
      <c r="AI56" s="62">
        <f t="shared" ref="AI56" si="139">SUM(AJ56:AM56)</f>
        <v>125.3</v>
      </c>
      <c r="AJ56" s="63"/>
      <c r="AK56" s="63"/>
      <c r="AL56" s="63">
        <v>125.3</v>
      </c>
      <c r="AM56" s="64"/>
    </row>
    <row r="57" spans="1:39" ht="94.5" outlineLevel="3" x14ac:dyDescent="0.25">
      <c r="A57" s="61" t="s">
        <v>28</v>
      </c>
      <c r="B57" s="1" t="s">
        <v>94</v>
      </c>
      <c r="C57" s="207" t="s">
        <v>66</v>
      </c>
      <c r="D57" s="207" t="s">
        <v>175</v>
      </c>
      <c r="E57" s="62">
        <f>E58+E59</f>
        <v>4199.7</v>
      </c>
      <c r="F57" s="62">
        <f t="shared" ref="F57:L57" si="140">F58+F59</f>
        <v>0</v>
      </c>
      <c r="G57" s="62">
        <f t="shared" si="140"/>
        <v>0</v>
      </c>
      <c r="H57" s="3">
        <f t="shared" si="134"/>
        <v>4199.7</v>
      </c>
      <c r="I57" s="62">
        <f t="shared" si="140"/>
        <v>0</v>
      </c>
      <c r="J57" s="62">
        <f t="shared" si="140"/>
        <v>792.1</v>
      </c>
      <c r="K57" s="62">
        <f t="shared" si="140"/>
        <v>0</v>
      </c>
      <c r="L57" s="62">
        <f t="shared" si="140"/>
        <v>0</v>
      </c>
      <c r="M57" s="63">
        <f>M58+M59</f>
        <v>792.1</v>
      </c>
      <c r="N57" s="63">
        <f t="shared" ref="N57:AL57" si="141">N58+N59</f>
        <v>0</v>
      </c>
      <c r="O57" s="62">
        <f t="shared" si="141"/>
        <v>1917.1</v>
      </c>
      <c r="P57" s="63">
        <f t="shared" si="141"/>
        <v>0</v>
      </c>
      <c r="Q57" s="63">
        <f t="shared" si="141"/>
        <v>0</v>
      </c>
      <c r="R57" s="63">
        <f t="shared" si="141"/>
        <v>1917.1</v>
      </c>
      <c r="S57" s="63">
        <f t="shared" si="141"/>
        <v>0</v>
      </c>
      <c r="T57" s="62">
        <f t="shared" si="141"/>
        <v>1490.5</v>
      </c>
      <c r="U57" s="63">
        <f t="shared" si="141"/>
        <v>0</v>
      </c>
      <c r="V57" s="63">
        <f t="shared" si="141"/>
        <v>0</v>
      </c>
      <c r="W57" s="63">
        <f t="shared" si="141"/>
        <v>1490.5</v>
      </c>
      <c r="X57" s="63">
        <f t="shared" si="141"/>
        <v>0</v>
      </c>
      <c r="Y57" s="63">
        <f t="shared" si="141"/>
        <v>0</v>
      </c>
      <c r="Z57" s="63">
        <f t="shared" si="141"/>
        <v>0</v>
      </c>
      <c r="AA57" s="63">
        <f t="shared" si="141"/>
        <v>0</v>
      </c>
      <c r="AB57" s="63">
        <f t="shared" si="141"/>
        <v>0</v>
      </c>
      <c r="AC57" s="63">
        <f t="shared" si="141"/>
        <v>0</v>
      </c>
      <c r="AD57" s="63">
        <f t="shared" si="141"/>
        <v>0</v>
      </c>
      <c r="AE57" s="63">
        <f t="shared" si="141"/>
        <v>0</v>
      </c>
      <c r="AF57" s="63">
        <f t="shared" si="141"/>
        <v>0</v>
      </c>
      <c r="AG57" s="63">
        <f t="shared" si="141"/>
        <v>0</v>
      </c>
      <c r="AH57" s="63">
        <f t="shared" si="141"/>
        <v>0</v>
      </c>
      <c r="AI57" s="63">
        <f t="shared" si="141"/>
        <v>0</v>
      </c>
      <c r="AJ57" s="63">
        <f t="shared" si="141"/>
        <v>0</v>
      </c>
      <c r="AK57" s="63">
        <f t="shared" si="141"/>
        <v>0</v>
      </c>
      <c r="AL57" s="63">
        <f t="shared" si="141"/>
        <v>0</v>
      </c>
      <c r="AM57" s="64"/>
    </row>
    <row r="58" spans="1:39" ht="32.25" customHeight="1" outlineLevel="3" x14ac:dyDescent="0.25">
      <c r="A58" s="74" t="s">
        <v>360</v>
      </c>
      <c r="B58" s="22" t="s">
        <v>95</v>
      </c>
      <c r="C58" s="208"/>
      <c r="D58" s="208"/>
      <c r="E58" s="62">
        <f>H58</f>
        <v>322.10000000000002</v>
      </c>
      <c r="F58" s="63">
        <v>0</v>
      </c>
      <c r="G58" s="63">
        <v>0</v>
      </c>
      <c r="H58" s="3">
        <f t="shared" si="134"/>
        <v>322.10000000000002</v>
      </c>
      <c r="I58" s="63">
        <v>0</v>
      </c>
      <c r="J58" s="62">
        <f>M58</f>
        <v>322.10000000000002</v>
      </c>
      <c r="K58" s="63">
        <v>0</v>
      </c>
      <c r="L58" s="63">
        <v>0</v>
      </c>
      <c r="M58" s="63">
        <v>322.10000000000002</v>
      </c>
      <c r="N58" s="63"/>
      <c r="O58" s="62">
        <f>R58</f>
        <v>0</v>
      </c>
      <c r="P58" s="63"/>
      <c r="Q58" s="63"/>
      <c r="R58" s="63">
        <v>0</v>
      </c>
      <c r="S58" s="63"/>
      <c r="T58" s="62">
        <f>W58</f>
        <v>0</v>
      </c>
      <c r="U58" s="64"/>
      <c r="V58" s="64"/>
      <c r="W58" s="64">
        <v>0</v>
      </c>
      <c r="X58" s="64"/>
      <c r="Y58" s="62">
        <f>AB58</f>
        <v>0</v>
      </c>
      <c r="Z58" s="64"/>
      <c r="AA58" s="64"/>
      <c r="AB58" s="64">
        <v>0</v>
      </c>
      <c r="AC58" s="64"/>
      <c r="AD58" s="62">
        <f>AG58</f>
        <v>0</v>
      </c>
      <c r="AE58" s="64"/>
      <c r="AF58" s="64"/>
      <c r="AG58" s="64">
        <v>0</v>
      </c>
      <c r="AH58" s="64"/>
      <c r="AI58" s="62">
        <f>AL58</f>
        <v>0</v>
      </c>
      <c r="AJ58" s="64"/>
      <c r="AK58" s="64"/>
      <c r="AL58" s="64">
        <v>0</v>
      </c>
      <c r="AM58" s="64"/>
    </row>
    <row r="59" spans="1:39" ht="82.5" customHeight="1" outlineLevel="3" x14ac:dyDescent="0.25">
      <c r="A59" s="61" t="s">
        <v>361</v>
      </c>
      <c r="B59" s="22" t="s">
        <v>96</v>
      </c>
      <c r="C59" s="209"/>
      <c r="D59" s="209"/>
      <c r="E59" s="62">
        <f>H59</f>
        <v>3877.6</v>
      </c>
      <c r="F59" s="63">
        <v>0</v>
      </c>
      <c r="G59" s="63">
        <v>0</v>
      </c>
      <c r="H59" s="3">
        <f>M59+R59+W59+AB59+AG59+AL59</f>
        <v>3877.6</v>
      </c>
      <c r="I59" s="63">
        <v>0</v>
      </c>
      <c r="J59" s="62">
        <f>M59</f>
        <v>470</v>
      </c>
      <c r="K59" s="63">
        <v>0</v>
      </c>
      <c r="L59" s="63">
        <v>0</v>
      </c>
      <c r="M59" s="63">
        <v>470</v>
      </c>
      <c r="N59" s="63"/>
      <c r="O59" s="62">
        <f>R59</f>
        <v>1917.1</v>
      </c>
      <c r="P59" s="63"/>
      <c r="Q59" s="63"/>
      <c r="R59" s="63">
        <v>1917.1</v>
      </c>
      <c r="S59" s="63"/>
      <c r="T59" s="62">
        <f>W59</f>
        <v>1490.5</v>
      </c>
      <c r="U59" s="63"/>
      <c r="V59" s="63"/>
      <c r="W59" s="63">
        <v>1490.5</v>
      </c>
      <c r="X59" s="64"/>
      <c r="Y59" s="62">
        <f>AB59</f>
        <v>0</v>
      </c>
      <c r="Z59" s="64"/>
      <c r="AA59" s="64"/>
      <c r="AB59" s="64">
        <v>0</v>
      </c>
      <c r="AC59" s="64"/>
      <c r="AD59" s="62">
        <f>AG59</f>
        <v>0</v>
      </c>
      <c r="AE59" s="64"/>
      <c r="AF59" s="64"/>
      <c r="AG59" s="64">
        <v>0</v>
      </c>
      <c r="AH59" s="64"/>
      <c r="AI59" s="62">
        <f>AL59</f>
        <v>0</v>
      </c>
      <c r="AJ59" s="64"/>
      <c r="AK59" s="64"/>
      <c r="AL59" s="64">
        <v>0</v>
      </c>
      <c r="AM59" s="64"/>
    </row>
    <row r="60" spans="1:39" s="54" customFormat="1" ht="47.25" customHeight="1" outlineLevel="1" x14ac:dyDescent="0.25">
      <c r="A60" s="57">
        <v>6</v>
      </c>
      <c r="B60" s="195" t="s">
        <v>171</v>
      </c>
      <c r="C60" s="195"/>
      <c r="D60" s="195"/>
      <c r="E60" s="58">
        <f t="shared" ref="E60:AM60" si="142">E61+E80+E98</f>
        <v>426449.7</v>
      </c>
      <c r="F60" s="58">
        <f t="shared" si="142"/>
        <v>0</v>
      </c>
      <c r="G60" s="58">
        <f t="shared" si="142"/>
        <v>0</v>
      </c>
      <c r="H60" s="58">
        <f t="shared" si="142"/>
        <v>426449.7</v>
      </c>
      <c r="I60" s="58">
        <f t="shared" si="142"/>
        <v>0</v>
      </c>
      <c r="J60" s="58">
        <f t="shared" si="142"/>
        <v>63336.800000000003</v>
      </c>
      <c r="K60" s="58">
        <f t="shared" si="142"/>
        <v>0</v>
      </c>
      <c r="L60" s="58">
        <f t="shared" si="142"/>
        <v>0</v>
      </c>
      <c r="M60" s="58">
        <f t="shared" si="142"/>
        <v>63336.800000000003</v>
      </c>
      <c r="N60" s="58">
        <f t="shared" si="142"/>
        <v>0</v>
      </c>
      <c r="O60" s="58">
        <f t="shared" si="142"/>
        <v>72895.7</v>
      </c>
      <c r="P60" s="58">
        <f t="shared" si="142"/>
        <v>0</v>
      </c>
      <c r="Q60" s="58">
        <f t="shared" si="142"/>
        <v>0</v>
      </c>
      <c r="R60" s="58">
        <f>R61+R80+R98</f>
        <v>72895.7</v>
      </c>
      <c r="S60" s="58">
        <f t="shared" si="142"/>
        <v>0</v>
      </c>
      <c r="T60" s="58">
        <f t="shared" si="142"/>
        <v>71940.5</v>
      </c>
      <c r="U60" s="58">
        <f t="shared" si="142"/>
        <v>0</v>
      </c>
      <c r="V60" s="58">
        <f t="shared" si="142"/>
        <v>0</v>
      </c>
      <c r="W60" s="58">
        <f t="shared" si="142"/>
        <v>71940.5</v>
      </c>
      <c r="X60" s="58">
        <f t="shared" si="142"/>
        <v>0</v>
      </c>
      <c r="Y60" s="58">
        <f t="shared" si="142"/>
        <v>73102.899999999994</v>
      </c>
      <c r="Z60" s="58">
        <f t="shared" si="142"/>
        <v>0</v>
      </c>
      <c r="AA60" s="58">
        <f t="shared" si="142"/>
        <v>0</v>
      </c>
      <c r="AB60" s="58">
        <f t="shared" si="142"/>
        <v>73102.899999999994</v>
      </c>
      <c r="AC60" s="58">
        <f t="shared" si="142"/>
        <v>0</v>
      </c>
      <c r="AD60" s="58">
        <f t="shared" si="142"/>
        <v>72586.899999999994</v>
      </c>
      <c r="AE60" s="58">
        <f t="shared" si="142"/>
        <v>0</v>
      </c>
      <c r="AF60" s="58">
        <f t="shared" si="142"/>
        <v>0</v>
      </c>
      <c r="AG60" s="58">
        <f t="shared" si="142"/>
        <v>72586.899999999994</v>
      </c>
      <c r="AH60" s="58">
        <f t="shared" si="142"/>
        <v>0</v>
      </c>
      <c r="AI60" s="58">
        <f t="shared" si="142"/>
        <v>72586.899999999994</v>
      </c>
      <c r="AJ60" s="58">
        <f t="shared" si="142"/>
        <v>0</v>
      </c>
      <c r="AK60" s="58">
        <f t="shared" si="142"/>
        <v>0</v>
      </c>
      <c r="AL60" s="58">
        <f t="shared" si="142"/>
        <v>72586.899999999994</v>
      </c>
      <c r="AM60" s="58">
        <f t="shared" si="142"/>
        <v>0</v>
      </c>
    </row>
    <row r="61" spans="1:39" s="54" customFormat="1" ht="47.25" customHeight="1" outlineLevel="2" x14ac:dyDescent="0.25">
      <c r="A61" s="59" t="s">
        <v>33</v>
      </c>
      <c r="B61" s="174" t="s">
        <v>359</v>
      </c>
      <c r="C61" s="174"/>
      <c r="D61" s="174"/>
      <c r="E61" s="60">
        <f>SUM(E62:E79)</f>
        <v>143400.4</v>
      </c>
      <c r="F61" s="60">
        <f t="shared" ref="F61:AL61" si="143">SUM(F62:F79)</f>
        <v>0</v>
      </c>
      <c r="G61" s="60">
        <f t="shared" si="143"/>
        <v>0</v>
      </c>
      <c r="H61" s="60">
        <f t="shared" si="143"/>
        <v>143400.4</v>
      </c>
      <c r="I61" s="60">
        <f t="shared" si="143"/>
        <v>0</v>
      </c>
      <c r="J61" s="60">
        <f t="shared" si="143"/>
        <v>22596</v>
      </c>
      <c r="K61" s="60">
        <f t="shared" si="143"/>
        <v>0</v>
      </c>
      <c r="L61" s="60">
        <f t="shared" si="143"/>
        <v>0</v>
      </c>
      <c r="M61" s="60">
        <f t="shared" si="143"/>
        <v>22596</v>
      </c>
      <c r="N61" s="60">
        <f t="shared" si="143"/>
        <v>0</v>
      </c>
      <c r="O61" s="60">
        <f t="shared" si="143"/>
        <v>23111.600000000002</v>
      </c>
      <c r="P61" s="60">
        <f t="shared" si="143"/>
        <v>0</v>
      </c>
      <c r="Q61" s="60">
        <f t="shared" si="143"/>
        <v>0</v>
      </c>
      <c r="R61" s="60">
        <f>SUM(R62:R79)</f>
        <v>23111.600000000002</v>
      </c>
      <c r="S61" s="60">
        <f t="shared" si="143"/>
        <v>0</v>
      </c>
      <c r="T61" s="60">
        <f t="shared" si="143"/>
        <v>23713.4</v>
      </c>
      <c r="U61" s="60">
        <f t="shared" si="143"/>
        <v>0</v>
      </c>
      <c r="V61" s="60">
        <f t="shared" si="143"/>
        <v>0</v>
      </c>
      <c r="W61" s="60">
        <f>SUM(W62:W79)</f>
        <v>23713.4</v>
      </c>
      <c r="X61" s="60">
        <f t="shared" si="143"/>
        <v>0</v>
      </c>
      <c r="Y61" s="60">
        <f t="shared" si="143"/>
        <v>24659.800000000003</v>
      </c>
      <c r="Z61" s="60">
        <f t="shared" si="143"/>
        <v>0</v>
      </c>
      <c r="AA61" s="60">
        <f t="shared" si="143"/>
        <v>0</v>
      </c>
      <c r="AB61" s="60">
        <f t="shared" si="143"/>
        <v>24659.800000000003</v>
      </c>
      <c r="AC61" s="60">
        <f t="shared" si="143"/>
        <v>0</v>
      </c>
      <c r="AD61" s="60">
        <f t="shared" si="143"/>
        <v>24659.800000000003</v>
      </c>
      <c r="AE61" s="60">
        <f t="shared" si="143"/>
        <v>0</v>
      </c>
      <c r="AF61" s="60">
        <f t="shared" si="143"/>
        <v>0</v>
      </c>
      <c r="AG61" s="60">
        <f t="shared" si="143"/>
        <v>24659.800000000003</v>
      </c>
      <c r="AH61" s="60">
        <f t="shared" si="143"/>
        <v>0</v>
      </c>
      <c r="AI61" s="60">
        <f t="shared" si="143"/>
        <v>24659.800000000003</v>
      </c>
      <c r="AJ61" s="60">
        <f t="shared" si="143"/>
        <v>0</v>
      </c>
      <c r="AK61" s="60">
        <f t="shared" si="143"/>
        <v>0</v>
      </c>
      <c r="AL61" s="60">
        <f t="shared" si="143"/>
        <v>24659.800000000003</v>
      </c>
      <c r="AM61" s="60">
        <f>SUM(AM62:AM77)</f>
        <v>0</v>
      </c>
    </row>
    <row r="62" spans="1:39" ht="47.25" customHeight="1" outlineLevel="3" x14ac:dyDescent="0.25">
      <c r="A62" s="75" t="s">
        <v>110</v>
      </c>
      <c r="B62" s="7" t="s">
        <v>69</v>
      </c>
      <c r="C62" s="6" t="s">
        <v>67</v>
      </c>
      <c r="D62" s="8" t="s">
        <v>36</v>
      </c>
      <c r="E62" s="18">
        <f t="shared" ref="E62:E77" si="144">SUM(F62:I62)</f>
        <v>6874.9</v>
      </c>
      <c r="F62" s="3">
        <f t="shared" ref="F62:G77" si="145">K62+P62+U62</f>
        <v>0</v>
      </c>
      <c r="G62" s="3">
        <f t="shared" si="145"/>
        <v>0</v>
      </c>
      <c r="H62" s="3">
        <f t="shared" ref="H62:H79" si="146">M62+R62+W62+AB62+AG62+AL62</f>
        <v>6874.9</v>
      </c>
      <c r="I62" s="3">
        <f t="shared" ref="I62:I77" si="147">N62+S62+X62</f>
        <v>0</v>
      </c>
      <c r="J62" s="62">
        <f t="shared" ref="J62:J77" si="148">SUM(K62:N62)</f>
        <v>1541.3</v>
      </c>
      <c r="K62" s="63"/>
      <c r="L62" s="63"/>
      <c r="M62" s="63">
        <v>1541.3</v>
      </c>
      <c r="N62" s="63"/>
      <c r="O62" s="62">
        <f t="shared" ref="O62:O77" si="149">SUM(P62:S62)</f>
        <v>1006.8</v>
      </c>
      <c r="P62" s="63"/>
      <c r="Q62" s="63"/>
      <c r="R62" s="63">
        <v>1006.8</v>
      </c>
      <c r="S62" s="63"/>
      <c r="T62" s="62">
        <f t="shared" ref="T62:T77" si="150">SUM(U62:X62)</f>
        <v>1050.2</v>
      </c>
      <c r="U62" s="64"/>
      <c r="V62" s="64"/>
      <c r="W62" s="64">
        <v>1050.2</v>
      </c>
      <c r="X62" s="64"/>
      <c r="Y62" s="62">
        <f t="shared" ref="Y62:Y77" si="151">SUM(Z62:AC62)</f>
        <v>1092.2</v>
      </c>
      <c r="Z62" s="64"/>
      <c r="AA62" s="64"/>
      <c r="AB62" s="64">
        <v>1092.2</v>
      </c>
      <c r="AC62" s="64"/>
      <c r="AD62" s="62">
        <f t="shared" ref="AD62:AD77" si="152">SUM(AE62:AH62)</f>
        <v>1092.2</v>
      </c>
      <c r="AE62" s="64"/>
      <c r="AF62" s="64"/>
      <c r="AG62" s="64">
        <v>1092.2</v>
      </c>
      <c r="AH62" s="64"/>
      <c r="AI62" s="62">
        <f t="shared" ref="AI62:AI77" si="153">SUM(AJ62:AM62)</f>
        <v>1092.2</v>
      </c>
      <c r="AJ62" s="64"/>
      <c r="AK62" s="64"/>
      <c r="AL62" s="64">
        <v>1092.2</v>
      </c>
      <c r="AM62" s="64"/>
    </row>
    <row r="63" spans="1:39" ht="47.25" customHeight="1" outlineLevel="3" x14ac:dyDescent="0.25">
      <c r="A63" s="75" t="s">
        <v>111</v>
      </c>
      <c r="B63" s="7" t="s">
        <v>70</v>
      </c>
      <c r="C63" s="6" t="s">
        <v>67</v>
      </c>
      <c r="D63" s="8" t="s">
        <v>36</v>
      </c>
      <c r="E63" s="18">
        <f t="shared" si="144"/>
        <v>5781.4000000000005</v>
      </c>
      <c r="F63" s="3">
        <f t="shared" si="145"/>
        <v>0</v>
      </c>
      <c r="G63" s="3">
        <f t="shared" si="145"/>
        <v>0</v>
      </c>
      <c r="H63" s="3">
        <f t="shared" si="146"/>
        <v>5781.4000000000005</v>
      </c>
      <c r="I63" s="3">
        <f t="shared" si="147"/>
        <v>0</v>
      </c>
      <c r="J63" s="62">
        <f t="shared" si="148"/>
        <v>853.5</v>
      </c>
      <c r="K63" s="63"/>
      <c r="L63" s="63"/>
      <c r="M63" s="63">
        <v>853.5</v>
      </c>
      <c r="N63" s="63"/>
      <c r="O63" s="62">
        <f t="shared" si="149"/>
        <v>928.3</v>
      </c>
      <c r="P63" s="63"/>
      <c r="Q63" s="63"/>
      <c r="R63" s="63">
        <v>928.3</v>
      </c>
      <c r="S63" s="63"/>
      <c r="T63" s="62">
        <f t="shared" si="150"/>
        <v>970.8</v>
      </c>
      <c r="U63" s="64"/>
      <c r="V63" s="64"/>
      <c r="W63" s="64">
        <v>970.8</v>
      </c>
      <c r="X63" s="64"/>
      <c r="Y63" s="62">
        <f t="shared" si="151"/>
        <v>1009.6</v>
      </c>
      <c r="Z63" s="64"/>
      <c r="AA63" s="64"/>
      <c r="AB63" s="64">
        <v>1009.6</v>
      </c>
      <c r="AC63" s="64"/>
      <c r="AD63" s="62">
        <f t="shared" si="152"/>
        <v>1009.6</v>
      </c>
      <c r="AE63" s="64"/>
      <c r="AF63" s="64"/>
      <c r="AG63" s="64">
        <v>1009.6</v>
      </c>
      <c r="AH63" s="64"/>
      <c r="AI63" s="62">
        <f t="shared" si="153"/>
        <v>1009.6</v>
      </c>
      <c r="AJ63" s="64"/>
      <c r="AK63" s="64"/>
      <c r="AL63" s="64">
        <v>1009.6</v>
      </c>
      <c r="AM63" s="64"/>
    </row>
    <row r="64" spans="1:39" ht="47.25" customHeight="1" outlineLevel="3" x14ac:dyDescent="0.25">
      <c r="A64" s="75" t="s">
        <v>112</v>
      </c>
      <c r="B64" s="7" t="s">
        <v>163</v>
      </c>
      <c r="C64" s="6" t="s">
        <v>67</v>
      </c>
      <c r="D64" s="8" t="s">
        <v>36</v>
      </c>
      <c r="E64" s="18">
        <f t="shared" si="144"/>
        <v>11998.7</v>
      </c>
      <c r="F64" s="3">
        <f t="shared" si="145"/>
        <v>0</v>
      </c>
      <c r="G64" s="3">
        <f t="shared" si="145"/>
        <v>0</v>
      </c>
      <c r="H64" s="3">
        <f t="shared" si="146"/>
        <v>11998.7</v>
      </c>
      <c r="I64" s="3"/>
      <c r="J64" s="62">
        <v>0</v>
      </c>
      <c r="K64" s="63"/>
      <c r="L64" s="63"/>
      <c r="M64" s="63">
        <v>0</v>
      </c>
      <c r="N64" s="63"/>
      <c r="O64" s="62">
        <f>R64</f>
        <v>2262.3000000000002</v>
      </c>
      <c r="P64" s="63"/>
      <c r="Q64" s="63"/>
      <c r="R64" s="63">
        <v>2262.3000000000002</v>
      </c>
      <c r="S64" s="63"/>
      <c r="T64" s="62">
        <f>W64</f>
        <v>2363.3000000000002</v>
      </c>
      <c r="U64" s="64"/>
      <c r="V64" s="64"/>
      <c r="W64" s="64">
        <v>2363.3000000000002</v>
      </c>
      <c r="X64" s="64"/>
      <c r="Y64" s="62">
        <f>AB64</f>
        <v>2457.6999999999998</v>
      </c>
      <c r="Z64" s="64"/>
      <c r="AA64" s="64"/>
      <c r="AB64" s="64">
        <v>2457.6999999999998</v>
      </c>
      <c r="AC64" s="64"/>
      <c r="AD64" s="62">
        <f>AG64</f>
        <v>2457.6999999999998</v>
      </c>
      <c r="AE64" s="64"/>
      <c r="AF64" s="64"/>
      <c r="AG64" s="64">
        <v>2457.6999999999998</v>
      </c>
      <c r="AH64" s="64"/>
      <c r="AI64" s="62">
        <f>AL64</f>
        <v>2457.6999999999998</v>
      </c>
      <c r="AJ64" s="64"/>
      <c r="AK64" s="64"/>
      <c r="AL64" s="64">
        <v>2457.6999999999998</v>
      </c>
      <c r="AM64" s="64"/>
    </row>
    <row r="65" spans="1:39" ht="47.25" customHeight="1" outlineLevel="3" x14ac:dyDescent="0.25">
      <c r="A65" s="75" t="s">
        <v>113</v>
      </c>
      <c r="B65" s="7" t="s">
        <v>71</v>
      </c>
      <c r="C65" s="6" t="s">
        <v>67</v>
      </c>
      <c r="D65" s="8" t="s">
        <v>36</v>
      </c>
      <c r="E65" s="18">
        <f t="shared" si="144"/>
        <v>3806.4</v>
      </c>
      <c r="F65" s="3">
        <f t="shared" si="145"/>
        <v>0</v>
      </c>
      <c r="G65" s="3">
        <f t="shared" si="145"/>
        <v>0</v>
      </c>
      <c r="H65" s="3">
        <f t="shared" si="146"/>
        <v>3806.4</v>
      </c>
      <c r="I65" s="3">
        <f t="shared" si="147"/>
        <v>0</v>
      </c>
      <c r="J65" s="62">
        <f t="shared" si="148"/>
        <v>558</v>
      </c>
      <c r="K65" s="63"/>
      <c r="L65" s="63"/>
      <c r="M65" s="63">
        <v>558</v>
      </c>
      <c r="N65" s="63"/>
      <c r="O65" s="62">
        <f t="shared" si="149"/>
        <v>614.29999999999995</v>
      </c>
      <c r="P65" s="63"/>
      <c r="Q65" s="63"/>
      <c r="R65" s="63">
        <v>614.29999999999995</v>
      </c>
      <c r="S65" s="63"/>
      <c r="T65" s="62">
        <f t="shared" si="150"/>
        <v>639.4</v>
      </c>
      <c r="U65" s="64"/>
      <c r="V65" s="64"/>
      <c r="W65" s="64">
        <v>639.4</v>
      </c>
      <c r="X65" s="64"/>
      <c r="Y65" s="62">
        <f t="shared" si="151"/>
        <v>664.9</v>
      </c>
      <c r="Z65" s="64"/>
      <c r="AA65" s="64"/>
      <c r="AB65" s="64">
        <v>664.9</v>
      </c>
      <c r="AC65" s="64"/>
      <c r="AD65" s="62">
        <f t="shared" si="152"/>
        <v>664.9</v>
      </c>
      <c r="AE65" s="64"/>
      <c r="AF65" s="64"/>
      <c r="AG65" s="64">
        <v>664.9</v>
      </c>
      <c r="AH65" s="64"/>
      <c r="AI65" s="62">
        <f t="shared" si="153"/>
        <v>664.9</v>
      </c>
      <c r="AJ65" s="64"/>
      <c r="AK65" s="64"/>
      <c r="AL65" s="64">
        <v>664.9</v>
      </c>
      <c r="AM65" s="64"/>
    </row>
    <row r="66" spans="1:39" ht="47.25" customHeight="1" outlineLevel="3" x14ac:dyDescent="0.25">
      <c r="A66" s="75" t="s">
        <v>114</v>
      </c>
      <c r="B66" s="7" t="s">
        <v>72</v>
      </c>
      <c r="C66" s="6" t="s">
        <v>67</v>
      </c>
      <c r="D66" s="8" t="s">
        <v>36</v>
      </c>
      <c r="E66" s="18">
        <f t="shared" si="144"/>
        <v>7534</v>
      </c>
      <c r="F66" s="3">
        <f t="shared" si="145"/>
        <v>0</v>
      </c>
      <c r="G66" s="3">
        <f t="shared" si="145"/>
        <v>0</v>
      </c>
      <c r="H66" s="3">
        <f t="shared" si="146"/>
        <v>7534</v>
      </c>
      <c r="I66" s="3">
        <f t="shared" si="147"/>
        <v>0</v>
      </c>
      <c r="J66" s="62">
        <f t="shared" si="148"/>
        <v>1263.3</v>
      </c>
      <c r="K66" s="63"/>
      <c r="L66" s="63"/>
      <c r="M66" s="63">
        <v>1263.3</v>
      </c>
      <c r="N66" s="63"/>
      <c r="O66" s="62">
        <f t="shared" si="149"/>
        <v>1184.8</v>
      </c>
      <c r="P66" s="63"/>
      <c r="Q66" s="63"/>
      <c r="R66" s="63">
        <v>1184.8</v>
      </c>
      <c r="S66" s="63"/>
      <c r="T66" s="62">
        <f t="shared" si="150"/>
        <v>1234.5</v>
      </c>
      <c r="U66" s="64"/>
      <c r="V66" s="64"/>
      <c r="W66" s="64">
        <v>1234.5</v>
      </c>
      <c r="X66" s="64"/>
      <c r="Y66" s="62">
        <f t="shared" si="151"/>
        <v>1283.8</v>
      </c>
      <c r="Z66" s="64"/>
      <c r="AA66" s="64"/>
      <c r="AB66" s="64">
        <v>1283.8</v>
      </c>
      <c r="AC66" s="64"/>
      <c r="AD66" s="62">
        <f t="shared" si="152"/>
        <v>1283.8</v>
      </c>
      <c r="AE66" s="64"/>
      <c r="AF66" s="64"/>
      <c r="AG66" s="64">
        <v>1283.8</v>
      </c>
      <c r="AH66" s="64"/>
      <c r="AI66" s="62">
        <f t="shared" si="153"/>
        <v>1283.8</v>
      </c>
      <c r="AJ66" s="64"/>
      <c r="AK66" s="64"/>
      <c r="AL66" s="64">
        <v>1283.8</v>
      </c>
      <c r="AM66" s="64"/>
    </row>
    <row r="67" spans="1:39" ht="47.25" customHeight="1" outlineLevel="3" x14ac:dyDescent="0.25">
      <c r="A67" s="75" t="s">
        <v>115</v>
      </c>
      <c r="B67" s="7" t="s">
        <v>73</v>
      </c>
      <c r="C67" s="6" t="s">
        <v>67</v>
      </c>
      <c r="D67" s="8" t="s">
        <v>36</v>
      </c>
      <c r="E67" s="18">
        <f t="shared" si="144"/>
        <v>9068.4999999999982</v>
      </c>
      <c r="F67" s="3">
        <f t="shared" si="145"/>
        <v>0</v>
      </c>
      <c r="G67" s="3">
        <f t="shared" si="145"/>
        <v>0</v>
      </c>
      <c r="H67" s="3">
        <f t="shared" si="146"/>
        <v>9068.4999999999982</v>
      </c>
      <c r="I67" s="3">
        <f t="shared" si="147"/>
        <v>0</v>
      </c>
      <c r="J67" s="62">
        <f t="shared" si="148"/>
        <v>1735.4</v>
      </c>
      <c r="K67" s="63"/>
      <c r="L67" s="63"/>
      <c r="M67" s="63">
        <v>1735.4</v>
      </c>
      <c r="N67" s="63"/>
      <c r="O67" s="62">
        <f t="shared" si="149"/>
        <v>1383.3</v>
      </c>
      <c r="P67" s="63"/>
      <c r="Q67" s="63"/>
      <c r="R67" s="63">
        <v>1383.3</v>
      </c>
      <c r="S67" s="63"/>
      <c r="T67" s="62">
        <f t="shared" si="150"/>
        <v>1444.1</v>
      </c>
      <c r="U67" s="64"/>
      <c r="V67" s="64"/>
      <c r="W67" s="64">
        <v>1444.1</v>
      </c>
      <c r="X67" s="64"/>
      <c r="Y67" s="62">
        <f t="shared" si="151"/>
        <v>1501.9</v>
      </c>
      <c r="Z67" s="64"/>
      <c r="AA67" s="64"/>
      <c r="AB67" s="64">
        <v>1501.9</v>
      </c>
      <c r="AC67" s="64"/>
      <c r="AD67" s="62">
        <f t="shared" si="152"/>
        <v>1501.9</v>
      </c>
      <c r="AE67" s="64"/>
      <c r="AF67" s="64"/>
      <c r="AG67" s="64">
        <v>1501.9</v>
      </c>
      <c r="AH67" s="64"/>
      <c r="AI67" s="62">
        <f t="shared" si="153"/>
        <v>1501.9</v>
      </c>
      <c r="AJ67" s="64"/>
      <c r="AK67" s="64"/>
      <c r="AL67" s="64">
        <v>1501.9</v>
      </c>
      <c r="AM67" s="64"/>
    </row>
    <row r="68" spans="1:39" ht="47.25" customHeight="1" outlineLevel="3" x14ac:dyDescent="0.25">
      <c r="A68" s="75" t="s">
        <v>116</v>
      </c>
      <c r="B68" s="7" t="s">
        <v>74</v>
      </c>
      <c r="C68" s="6" t="s">
        <v>67</v>
      </c>
      <c r="D68" s="8" t="s">
        <v>36</v>
      </c>
      <c r="E68" s="18">
        <f t="shared" si="144"/>
        <v>4187.1000000000004</v>
      </c>
      <c r="F68" s="3">
        <f t="shared" si="145"/>
        <v>0</v>
      </c>
      <c r="G68" s="3">
        <f t="shared" si="145"/>
        <v>0</v>
      </c>
      <c r="H68" s="3">
        <f t="shared" si="146"/>
        <v>4187.1000000000004</v>
      </c>
      <c r="I68" s="3">
        <f t="shared" si="147"/>
        <v>0</v>
      </c>
      <c r="J68" s="62">
        <f t="shared" si="148"/>
        <v>626.4</v>
      </c>
      <c r="K68" s="63"/>
      <c r="L68" s="63"/>
      <c r="M68" s="63">
        <v>626.4</v>
      </c>
      <c r="N68" s="63"/>
      <c r="O68" s="62">
        <f t="shared" si="149"/>
        <v>672.7</v>
      </c>
      <c r="P68" s="63"/>
      <c r="Q68" s="63"/>
      <c r="R68" s="63">
        <v>672.7</v>
      </c>
      <c r="S68" s="63"/>
      <c r="T68" s="62">
        <f t="shared" si="150"/>
        <v>701</v>
      </c>
      <c r="U68" s="64"/>
      <c r="V68" s="64"/>
      <c r="W68" s="64">
        <v>701</v>
      </c>
      <c r="X68" s="64"/>
      <c r="Y68" s="62">
        <f t="shared" si="151"/>
        <v>729</v>
      </c>
      <c r="Z68" s="64"/>
      <c r="AA68" s="64"/>
      <c r="AB68" s="64">
        <v>729</v>
      </c>
      <c r="AC68" s="64"/>
      <c r="AD68" s="62">
        <f t="shared" si="152"/>
        <v>729</v>
      </c>
      <c r="AE68" s="64"/>
      <c r="AF68" s="64"/>
      <c r="AG68" s="64">
        <v>729</v>
      </c>
      <c r="AH68" s="64"/>
      <c r="AI68" s="62">
        <f t="shared" si="153"/>
        <v>729</v>
      </c>
      <c r="AJ68" s="64"/>
      <c r="AK68" s="64"/>
      <c r="AL68" s="64">
        <v>729</v>
      </c>
      <c r="AM68" s="64"/>
    </row>
    <row r="69" spans="1:39" ht="47.25" customHeight="1" outlineLevel="3" x14ac:dyDescent="0.25">
      <c r="A69" s="75" t="s">
        <v>117</v>
      </c>
      <c r="B69" s="7" t="s">
        <v>75</v>
      </c>
      <c r="C69" s="6" t="s">
        <v>67</v>
      </c>
      <c r="D69" s="8" t="s">
        <v>36</v>
      </c>
      <c r="E69" s="18">
        <f t="shared" si="144"/>
        <v>7573.1999999999989</v>
      </c>
      <c r="F69" s="3">
        <f t="shared" si="145"/>
        <v>0</v>
      </c>
      <c r="G69" s="3">
        <f t="shared" si="145"/>
        <v>0</v>
      </c>
      <c r="H69" s="3">
        <f t="shared" si="146"/>
        <v>7573.1999999999989</v>
      </c>
      <c r="I69" s="3">
        <f t="shared" si="147"/>
        <v>0</v>
      </c>
      <c r="J69" s="62">
        <f t="shared" si="148"/>
        <v>1108.8</v>
      </c>
      <c r="K69" s="63"/>
      <c r="L69" s="63"/>
      <c r="M69" s="63">
        <v>1108.8</v>
      </c>
      <c r="N69" s="63"/>
      <c r="O69" s="62">
        <f t="shared" si="149"/>
        <v>1219.7</v>
      </c>
      <c r="P69" s="63"/>
      <c r="Q69" s="63"/>
      <c r="R69" s="63">
        <v>1219.7</v>
      </c>
      <c r="S69" s="63"/>
      <c r="T69" s="62">
        <f t="shared" si="150"/>
        <v>1273</v>
      </c>
      <c r="U69" s="64"/>
      <c r="V69" s="64"/>
      <c r="W69" s="64">
        <v>1273</v>
      </c>
      <c r="X69" s="64"/>
      <c r="Y69" s="62">
        <f t="shared" si="151"/>
        <v>1323.9</v>
      </c>
      <c r="Z69" s="64"/>
      <c r="AA69" s="64"/>
      <c r="AB69" s="64">
        <v>1323.9</v>
      </c>
      <c r="AC69" s="64"/>
      <c r="AD69" s="62">
        <f t="shared" si="152"/>
        <v>1323.9</v>
      </c>
      <c r="AE69" s="64"/>
      <c r="AF69" s="64"/>
      <c r="AG69" s="64">
        <v>1323.9</v>
      </c>
      <c r="AH69" s="64"/>
      <c r="AI69" s="62">
        <f t="shared" si="153"/>
        <v>1323.9</v>
      </c>
      <c r="AJ69" s="64"/>
      <c r="AK69" s="64"/>
      <c r="AL69" s="64">
        <v>1323.9</v>
      </c>
      <c r="AM69" s="64"/>
    </row>
    <row r="70" spans="1:39" ht="47.25" customHeight="1" outlineLevel="3" x14ac:dyDescent="0.25">
      <c r="A70" s="75" t="s">
        <v>118</v>
      </c>
      <c r="B70" s="7" t="s">
        <v>76</v>
      </c>
      <c r="C70" s="6" t="s">
        <v>67</v>
      </c>
      <c r="D70" s="8" t="s">
        <v>36</v>
      </c>
      <c r="E70" s="18">
        <f>SUM(F70:I70)</f>
        <v>7439.3</v>
      </c>
      <c r="F70" s="3">
        <f t="shared" si="145"/>
        <v>0</v>
      </c>
      <c r="G70" s="3">
        <f t="shared" si="145"/>
        <v>0</v>
      </c>
      <c r="H70" s="3">
        <f>M70+R70+W70+AB70+AG70+AL70</f>
        <v>7439.3</v>
      </c>
      <c r="I70" s="3">
        <f t="shared" si="147"/>
        <v>0</v>
      </c>
      <c r="J70" s="62">
        <f t="shared" si="148"/>
        <v>521.70000000000005</v>
      </c>
      <c r="K70" s="63"/>
      <c r="L70" s="63"/>
      <c r="M70" s="63">
        <v>521.70000000000005</v>
      </c>
      <c r="N70" s="63"/>
      <c r="O70" s="62">
        <f t="shared" si="149"/>
        <v>1411.1000000000001</v>
      </c>
      <c r="P70" s="63"/>
      <c r="Q70" s="63"/>
      <c r="R70" s="63">
        <f>1269.4+141.7</f>
        <v>1411.1000000000001</v>
      </c>
      <c r="S70" s="63"/>
      <c r="T70" s="62">
        <f t="shared" si="150"/>
        <v>1336.5</v>
      </c>
      <c r="U70" s="64"/>
      <c r="V70" s="64"/>
      <c r="W70" s="64">
        <v>1336.5</v>
      </c>
      <c r="X70" s="64"/>
      <c r="Y70" s="62">
        <f t="shared" si="151"/>
        <v>1390</v>
      </c>
      <c r="Z70" s="64"/>
      <c r="AA70" s="64"/>
      <c r="AB70" s="64">
        <v>1390</v>
      </c>
      <c r="AC70" s="64"/>
      <c r="AD70" s="62">
        <f t="shared" si="152"/>
        <v>1390</v>
      </c>
      <c r="AE70" s="64"/>
      <c r="AF70" s="64"/>
      <c r="AG70" s="64">
        <v>1390</v>
      </c>
      <c r="AH70" s="64"/>
      <c r="AI70" s="62">
        <f t="shared" si="153"/>
        <v>1390</v>
      </c>
      <c r="AJ70" s="64"/>
      <c r="AK70" s="64"/>
      <c r="AL70" s="64">
        <v>1390</v>
      </c>
      <c r="AM70" s="64"/>
    </row>
    <row r="71" spans="1:39" ht="47.25" customHeight="1" outlineLevel="3" x14ac:dyDescent="0.25">
      <c r="A71" s="75" t="s">
        <v>119</v>
      </c>
      <c r="B71" s="7" t="s">
        <v>78</v>
      </c>
      <c r="C71" s="6" t="s">
        <v>67</v>
      </c>
      <c r="D71" s="8" t="s">
        <v>36</v>
      </c>
      <c r="E71" s="18">
        <f t="shared" si="144"/>
        <v>1855.8</v>
      </c>
      <c r="F71" s="3">
        <f t="shared" si="145"/>
        <v>0</v>
      </c>
      <c r="G71" s="3">
        <f t="shared" si="145"/>
        <v>0</v>
      </c>
      <c r="H71" s="3">
        <f t="shared" si="146"/>
        <v>1855.8</v>
      </c>
      <c r="I71" s="3">
        <f t="shared" si="147"/>
        <v>0</v>
      </c>
      <c r="J71" s="62">
        <f t="shared" si="148"/>
        <v>307.2</v>
      </c>
      <c r="K71" s="63"/>
      <c r="L71" s="63"/>
      <c r="M71" s="63">
        <v>307.2</v>
      </c>
      <c r="N71" s="63"/>
      <c r="O71" s="62">
        <f t="shared" si="149"/>
        <v>289.3</v>
      </c>
      <c r="P71" s="63"/>
      <c r="Q71" s="63"/>
      <c r="R71" s="63">
        <f>289.3</f>
        <v>289.3</v>
      </c>
      <c r="S71" s="63"/>
      <c r="T71" s="62">
        <f t="shared" si="150"/>
        <v>306.8</v>
      </c>
      <c r="U71" s="64"/>
      <c r="V71" s="64"/>
      <c r="W71" s="64">
        <v>306.8</v>
      </c>
      <c r="X71" s="64"/>
      <c r="Y71" s="62">
        <f t="shared" si="151"/>
        <v>317.5</v>
      </c>
      <c r="Z71" s="64"/>
      <c r="AA71" s="64"/>
      <c r="AB71" s="64">
        <v>317.5</v>
      </c>
      <c r="AC71" s="64"/>
      <c r="AD71" s="62">
        <f t="shared" si="152"/>
        <v>317.5</v>
      </c>
      <c r="AE71" s="64"/>
      <c r="AF71" s="64"/>
      <c r="AG71" s="64">
        <v>317.5</v>
      </c>
      <c r="AH71" s="64"/>
      <c r="AI71" s="62">
        <f t="shared" si="153"/>
        <v>317.5</v>
      </c>
      <c r="AJ71" s="64"/>
      <c r="AK71" s="64"/>
      <c r="AL71" s="64">
        <v>317.5</v>
      </c>
      <c r="AM71" s="64"/>
    </row>
    <row r="72" spans="1:39" ht="47.25" customHeight="1" outlineLevel="3" x14ac:dyDescent="0.25">
      <c r="A72" s="75" t="s">
        <v>120</v>
      </c>
      <c r="B72" s="7" t="s">
        <v>79</v>
      </c>
      <c r="C72" s="6" t="s">
        <v>67</v>
      </c>
      <c r="D72" s="8" t="s">
        <v>36</v>
      </c>
      <c r="E72" s="18">
        <f t="shared" si="144"/>
        <v>6230.8</v>
      </c>
      <c r="F72" s="3">
        <f t="shared" si="145"/>
        <v>0</v>
      </c>
      <c r="G72" s="3">
        <f t="shared" si="145"/>
        <v>0</v>
      </c>
      <c r="H72" s="3">
        <f t="shared" si="146"/>
        <v>6230.8</v>
      </c>
      <c r="I72" s="3">
        <f t="shared" si="147"/>
        <v>0</v>
      </c>
      <c r="J72" s="62">
        <f t="shared" si="148"/>
        <v>1054.2</v>
      </c>
      <c r="K72" s="63"/>
      <c r="L72" s="63"/>
      <c r="M72" s="63">
        <v>1054.2</v>
      </c>
      <c r="N72" s="63"/>
      <c r="O72" s="62">
        <f t="shared" si="149"/>
        <v>1148.5</v>
      </c>
      <c r="P72" s="63"/>
      <c r="Q72" s="63"/>
      <c r="R72" s="63">
        <f>937.5+122.1+88.9</f>
        <v>1148.5</v>
      </c>
      <c r="S72" s="63"/>
      <c r="T72" s="62">
        <f t="shared" si="150"/>
        <v>977.7</v>
      </c>
      <c r="U72" s="64"/>
      <c r="V72" s="64"/>
      <c r="W72" s="64">
        <f>977.7</f>
        <v>977.7</v>
      </c>
      <c r="X72" s="64"/>
      <c r="Y72" s="62">
        <f t="shared" si="151"/>
        <v>1016.8</v>
      </c>
      <c r="Z72" s="64"/>
      <c r="AA72" s="64"/>
      <c r="AB72" s="64">
        <v>1016.8</v>
      </c>
      <c r="AC72" s="64"/>
      <c r="AD72" s="62">
        <f t="shared" si="152"/>
        <v>1016.8</v>
      </c>
      <c r="AE72" s="64"/>
      <c r="AF72" s="64"/>
      <c r="AG72" s="64">
        <v>1016.8</v>
      </c>
      <c r="AH72" s="64"/>
      <c r="AI72" s="62">
        <f t="shared" si="153"/>
        <v>1016.8</v>
      </c>
      <c r="AJ72" s="64"/>
      <c r="AK72" s="64"/>
      <c r="AL72" s="64">
        <v>1016.8</v>
      </c>
      <c r="AM72" s="64"/>
    </row>
    <row r="73" spans="1:39" ht="47.25" customHeight="1" outlineLevel="3" x14ac:dyDescent="0.25">
      <c r="A73" s="75" t="s">
        <v>121</v>
      </c>
      <c r="B73" s="7" t="s">
        <v>80</v>
      </c>
      <c r="C73" s="6" t="s">
        <v>67</v>
      </c>
      <c r="D73" s="8" t="s">
        <v>36</v>
      </c>
      <c r="E73" s="18">
        <f t="shared" si="144"/>
        <v>5618.0999999999995</v>
      </c>
      <c r="F73" s="3">
        <f t="shared" si="145"/>
        <v>0</v>
      </c>
      <c r="G73" s="3">
        <f t="shared" si="145"/>
        <v>0</v>
      </c>
      <c r="H73" s="3">
        <f t="shared" si="146"/>
        <v>5618.0999999999995</v>
      </c>
      <c r="I73" s="3">
        <f t="shared" si="147"/>
        <v>0</v>
      </c>
      <c r="J73" s="62">
        <f t="shared" si="148"/>
        <v>935.2</v>
      </c>
      <c r="K73" s="63"/>
      <c r="L73" s="63"/>
      <c r="M73" s="63">
        <v>935.2</v>
      </c>
      <c r="N73" s="63"/>
      <c r="O73" s="62">
        <f t="shared" si="149"/>
        <v>877.1</v>
      </c>
      <c r="P73" s="63"/>
      <c r="Q73" s="63"/>
      <c r="R73" s="63">
        <v>877.1</v>
      </c>
      <c r="S73" s="63"/>
      <c r="T73" s="62">
        <f t="shared" si="150"/>
        <v>923.7</v>
      </c>
      <c r="U73" s="64"/>
      <c r="V73" s="64"/>
      <c r="W73" s="64">
        <v>923.7</v>
      </c>
      <c r="X73" s="64"/>
      <c r="Y73" s="62">
        <f t="shared" si="151"/>
        <v>960.7</v>
      </c>
      <c r="Z73" s="64"/>
      <c r="AA73" s="64"/>
      <c r="AB73" s="64">
        <v>960.7</v>
      </c>
      <c r="AC73" s="64"/>
      <c r="AD73" s="62">
        <f t="shared" si="152"/>
        <v>960.7</v>
      </c>
      <c r="AE73" s="64"/>
      <c r="AF73" s="64"/>
      <c r="AG73" s="64">
        <v>960.7</v>
      </c>
      <c r="AH73" s="64"/>
      <c r="AI73" s="62">
        <f t="shared" si="153"/>
        <v>960.7</v>
      </c>
      <c r="AJ73" s="64"/>
      <c r="AK73" s="64"/>
      <c r="AL73" s="64">
        <v>960.7</v>
      </c>
      <c r="AM73" s="64"/>
    </row>
    <row r="74" spans="1:39" ht="47.25" customHeight="1" outlineLevel="3" x14ac:dyDescent="0.25">
      <c r="A74" s="75" t="s">
        <v>122</v>
      </c>
      <c r="B74" s="7" t="s">
        <v>81</v>
      </c>
      <c r="C74" s="6" t="s">
        <v>67</v>
      </c>
      <c r="D74" s="8" t="s">
        <v>36</v>
      </c>
      <c r="E74" s="18">
        <f t="shared" si="144"/>
        <v>8713.1</v>
      </c>
      <c r="F74" s="3">
        <f t="shared" si="145"/>
        <v>0</v>
      </c>
      <c r="G74" s="3">
        <f t="shared" si="145"/>
        <v>0</v>
      </c>
      <c r="H74" s="3">
        <f t="shared" si="146"/>
        <v>8713.1</v>
      </c>
      <c r="I74" s="3">
        <f t="shared" si="147"/>
        <v>0</v>
      </c>
      <c r="J74" s="62">
        <f t="shared" si="148"/>
        <v>1372.1</v>
      </c>
      <c r="K74" s="63"/>
      <c r="L74" s="63"/>
      <c r="M74" s="63">
        <v>1372.1</v>
      </c>
      <c r="N74" s="63"/>
      <c r="O74" s="62">
        <f t="shared" si="149"/>
        <v>1385.6</v>
      </c>
      <c r="P74" s="63"/>
      <c r="Q74" s="63"/>
      <c r="R74" s="63">
        <v>1385.6</v>
      </c>
      <c r="S74" s="63"/>
      <c r="T74" s="62">
        <f t="shared" si="150"/>
        <v>1445.5</v>
      </c>
      <c r="U74" s="64"/>
      <c r="V74" s="64"/>
      <c r="W74" s="64">
        <v>1445.5</v>
      </c>
      <c r="X74" s="64"/>
      <c r="Y74" s="62">
        <f t="shared" si="151"/>
        <v>1503.3</v>
      </c>
      <c r="Z74" s="64"/>
      <c r="AA74" s="64"/>
      <c r="AB74" s="64">
        <v>1503.3</v>
      </c>
      <c r="AC74" s="64"/>
      <c r="AD74" s="62">
        <f t="shared" si="152"/>
        <v>1503.3</v>
      </c>
      <c r="AE74" s="64"/>
      <c r="AF74" s="64"/>
      <c r="AG74" s="64">
        <v>1503.3</v>
      </c>
      <c r="AH74" s="64"/>
      <c r="AI74" s="62">
        <f t="shared" si="153"/>
        <v>1503.3</v>
      </c>
      <c r="AJ74" s="64"/>
      <c r="AK74" s="64"/>
      <c r="AL74" s="64">
        <v>1503.3</v>
      </c>
      <c r="AM74" s="64"/>
    </row>
    <row r="75" spans="1:39" ht="47.25" customHeight="1" outlineLevel="3" x14ac:dyDescent="0.25">
      <c r="A75" s="75" t="s">
        <v>123</v>
      </c>
      <c r="B75" s="7" t="s">
        <v>82</v>
      </c>
      <c r="C75" s="6" t="s">
        <v>67</v>
      </c>
      <c r="D75" s="8" t="s">
        <v>36</v>
      </c>
      <c r="E75" s="18">
        <f t="shared" si="144"/>
        <v>12283.499999999998</v>
      </c>
      <c r="F75" s="3">
        <f t="shared" si="145"/>
        <v>0</v>
      </c>
      <c r="G75" s="3">
        <f t="shared" si="145"/>
        <v>0</v>
      </c>
      <c r="H75" s="3">
        <f t="shared" si="146"/>
        <v>12283.499999999998</v>
      </c>
      <c r="I75" s="3">
        <f t="shared" si="147"/>
        <v>0</v>
      </c>
      <c r="J75" s="62">
        <f t="shared" si="148"/>
        <v>2226.5</v>
      </c>
      <c r="K75" s="63"/>
      <c r="L75" s="63"/>
      <c r="M75" s="63">
        <v>2226.5</v>
      </c>
      <c r="N75" s="63"/>
      <c r="O75" s="62">
        <f t="shared" si="149"/>
        <v>1882.7</v>
      </c>
      <c r="P75" s="63"/>
      <c r="Q75" s="63"/>
      <c r="R75" s="63">
        <f>1882.7</f>
        <v>1882.7</v>
      </c>
      <c r="S75" s="63"/>
      <c r="T75" s="62">
        <f t="shared" si="150"/>
        <v>1984.1</v>
      </c>
      <c r="U75" s="64"/>
      <c r="V75" s="64"/>
      <c r="W75" s="63">
        <f>1984.1</f>
        <v>1984.1</v>
      </c>
      <c r="X75" s="64"/>
      <c r="Y75" s="62">
        <f t="shared" si="151"/>
        <v>2063.4</v>
      </c>
      <c r="Z75" s="64"/>
      <c r="AA75" s="64"/>
      <c r="AB75" s="63">
        <f>2063.4</f>
        <v>2063.4</v>
      </c>
      <c r="AC75" s="64"/>
      <c r="AD75" s="62">
        <f t="shared" si="152"/>
        <v>2063.4</v>
      </c>
      <c r="AE75" s="64"/>
      <c r="AF75" s="64"/>
      <c r="AG75" s="64">
        <v>2063.4</v>
      </c>
      <c r="AH75" s="64"/>
      <c r="AI75" s="62">
        <f t="shared" si="153"/>
        <v>2063.4</v>
      </c>
      <c r="AJ75" s="64"/>
      <c r="AK75" s="64"/>
      <c r="AL75" s="64">
        <v>2063.4</v>
      </c>
      <c r="AM75" s="64"/>
    </row>
    <row r="76" spans="1:39" ht="47.25" customHeight="1" outlineLevel="3" x14ac:dyDescent="0.25">
      <c r="A76" s="75" t="s">
        <v>124</v>
      </c>
      <c r="B76" s="7" t="s">
        <v>83</v>
      </c>
      <c r="C76" s="6" t="s">
        <v>67</v>
      </c>
      <c r="D76" s="8" t="s">
        <v>36</v>
      </c>
      <c r="E76" s="18">
        <f t="shared" si="144"/>
        <v>2529.2000000000003</v>
      </c>
      <c r="F76" s="3">
        <f t="shared" si="145"/>
        <v>0</v>
      </c>
      <c r="G76" s="3">
        <f t="shared" si="145"/>
        <v>0</v>
      </c>
      <c r="H76" s="3">
        <f t="shared" si="146"/>
        <v>2529.2000000000003</v>
      </c>
      <c r="I76" s="3">
        <f t="shared" si="147"/>
        <v>0</v>
      </c>
      <c r="J76" s="62">
        <f t="shared" si="148"/>
        <v>366</v>
      </c>
      <c r="K76" s="63"/>
      <c r="L76" s="63"/>
      <c r="M76" s="63">
        <v>366</v>
      </c>
      <c r="N76" s="63"/>
      <c r="O76" s="62">
        <f t="shared" si="149"/>
        <v>408.6</v>
      </c>
      <c r="P76" s="63"/>
      <c r="Q76" s="63"/>
      <c r="R76" s="63">
        <v>408.6</v>
      </c>
      <c r="S76" s="63"/>
      <c r="T76" s="62">
        <f t="shared" si="150"/>
        <v>425.9</v>
      </c>
      <c r="U76" s="64"/>
      <c r="V76" s="64"/>
      <c r="W76" s="64">
        <v>425.9</v>
      </c>
      <c r="X76" s="64"/>
      <c r="Y76" s="62">
        <f t="shared" si="151"/>
        <v>442.9</v>
      </c>
      <c r="Z76" s="64"/>
      <c r="AA76" s="64"/>
      <c r="AB76" s="64">
        <v>442.9</v>
      </c>
      <c r="AC76" s="64"/>
      <c r="AD76" s="62">
        <f t="shared" si="152"/>
        <v>442.9</v>
      </c>
      <c r="AE76" s="64"/>
      <c r="AF76" s="64"/>
      <c r="AG76" s="64">
        <v>442.9</v>
      </c>
      <c r="AH76" s="64"/>
      <c r="AI76" s="62">
        <f t="shared" si="153"/>
        <v>442.9</v>
      </c>
      <c r="AJ76" s="64"/>
      <c r="AK76" s="64"/>
      <c r="AL76" s="64">
        <v>442.9</v>
      </c>
      <c r="AM76" s="64"/>
    </row>
    <row r="77" spans="1:39" ht="47.25" customHeight="1" outlineLevel="3" x14ac:dyDescent="0.25">
      <c r="A77" s="75" t="s">
        <v>125</v>
      </c>
      <c r="B77" s="7" t="s">
        <v>84</v>
      </c>
      <c r="C77" s="6" t="s">
        <v>67</v>
      </c>
      <c r="D77" s="8" t="s">
        <v>36</v>
      </c>
      <c r="E77" s="18">
        <f t="shared" si="144"/>
        <v>9912</v>
      </c>
      <c r="F77" s="3">
        <f t="shared" si="145"/>
        <v>0</v>
      </c>
      <c r="G77" s="3">
        <f t="shared" si="145"/>
        <v>0</v>
      </c>
      <c r="H77" s="3">
        <f t="shared" si="146"/>
        <v>9912</v>
      </c>
      <c r="I77" s="3">
        <f t="shared" si="147"/>
        <v>0</v>
      </c>
      <c r="J77" s="62">
        <f t="shared" si="148"/>
        <v>1596.5</v>
      </c>
      <c r="K77" s="63"/>
      <c r="L77" s="63"/>
      <c r="M77" s="63">
        <f>1215.8+380.7</f>
        <v>1596.5</v>
      </c>
      <c r="N77" s="63"/>
      <c r="O77" s="62">
        <f t="shared" si="149"/>
        <v>1608.2</v>
      </c>
      <c r="P77" s="63"/>
      <c r="Q77" s="63"/>
      <c r="R77" s="63">
        <f>1551.2+57</f>
        <v>1608.2</v>
      </c>
      <c r="S77" s="63"/>
      <c r="T77" s="62">
        <f t="shared" si="150"/>
        <v>1628</v>
      </c>
      <c r="U77" s="64"/>
      <c r="V77" s="64"/>
      <c r="W77" s="64">
        <v>1628</v>
      </c>
      <c r="X77" s="64"/>
      <c r="Y77" s="62">
        <f t="shared" si="151"/>
        <v>1693.1</v>
      </c>
      <c r="Z77" s="64"/>
      <c r="AA77" s="64"/>
      <c r="AB77" s="64">
        <v>1693.1</v>
      </c>
      <c r="AC77" s="64"/>
      <c r="AD77" s="62">
        <f t="shared" si="152"/>
        <v>1693.1</v>
      </c>
      <c r="AE77" s="64"/>
      <c r="AF77" s="64"/>
      <c r="AG77" s="64">
        <v>1693.1</v>
      </c>
      <c r="AH77" s="64"/>
      <c r="AI77" s="62">
        <f t="shared" si="153"/>
        <v>1693.1</v>
      </c>
      <c r="AJ77" s="64"/>
      <c r="AK77" s="64"/>
      <c r="AL77" s="64">
        <v>1693.1</v>
      </c>
      <c r="AM77" s="64"/>
    </row>
    <row r="78" spans="1:39" ht="47.25" customHeight="1" outlineLevel="3" x14ac:dyDescent="0.25">
      <c r="A78" s="75" t="s">
        <v>167</v>
      </c>
      <c r="B78" s="7" t="s">
        <v>77</v>
      </c>
      <c r="C78" s="6" t="s">
        <v>67</v>
      </c>
      <c r="D78" s="8" t="s">
        <v>36</v>
      </c>
      <c r="E78" s="18">
        <f>SUM(F78:I78)</f>
        <v>26013.100000000002</v>
      </c>
      <c r="F78" s="3">
        <f>K78+P78+U78</f>
        <v>0</v>
      </c>
      <c r="G78" s="3">
        <f>L78+Q78+V78</f>
        <v>0</v>
      </c>
      <c r="H78" s="3">
        <f t="shared" si="146"/>
        <v>26013.100000000002</v>
      </c>
      <c r="I78" s="3">
        <f>N78+S78+X78</f>
        <v>0</v>
      </c>
      <c r="J78" s="62">
        <f>SUM(K78:N78)</f>
        <v>6529.9</v>
      </c>
      <c r="K78" s="63"/>
      <c r="L78" s="63"/>
      <c r="M78" s="63">
        <f>3113.5+3416.4</f>
        <v>6529.9</v>
      </c>
      <c r="N78" s="63"/>
      <c r="O78" s="62">
        <f>SUM(P78:S78)</f>
        <v>3720.6</v>
      </c>
      <c r="P78" s="63"/>
      <c r="Q78" s="63"/>
      <c r="R78" s="63">
        <v>3720.6</v>
      </c>
      <c r="S78" s="63"/>
      <c r="T78" s="62">
        <f>SUM(U78:X78)</f>
        <v>3825.9</v>
      </c>
      <c r="U78" s="64"/>
      <c r="V78" s="64"/>
      <c r="W78" s="64">
        <v>3825.9</v>
      </c>
      <c r="X78" s="64"/>
      <c r="Y78" s="62">
        <f>SUM(Z78:AC78)</f>
        <v>3978.9</v>
      </c>
      <c r="Z78" s="64"/>
      <c r="AA78" s="64"/>
      <c r="AB78" s="64">
        <v>3978.9</v>
      </c>
      <c r="AC78" s="64"/>
      <c r="AD78" s="62">
        <f>SUM(AE78:AH78)</f>
        <v>3978.9</v>
      </c>
      <c r="AE78" s="64"/>
      <c r="AF78" s="64"/>
      <c r="AG78" s="64">
        <v>3978.9</v>
      </c>
      <c r="AH78" s="64"/>
      <c r="AI78" s="62">
        <f>SUM(AJ78:AM78)</f>
        <v>3978.9</v>
      </c>
      <c r="AJ78" s="64"/>
      <c r="AK78" s="64"/>
      <c r="AL78" s="64">
        <v>3978.9</v>
      </c>
      <c r="AM78" s="64"/>
    </row>
    <row r="79" spans="1:39" ht="47.25" customHeight="1" outlineLevel="3" x14ac:dyDescent="0.25">
      <c r="A79" s="75" t="s">
        <v>168</v>
      </c>
      <c r="B79" s="7" t="s">
        <v>164</v>
      </c>
      <c r="C79" s="6" t="s">
        <v>67</v>
      </c>
      <c r="D79" s="8" t="s">
        <v>36</v>
      </c>
      <c r="E79" s="18">
        <f>SUM(F79:I79)</f>
        <v>5981.2999999999993</v>
      </c>
      <c r="F79" s="3">
        <f>K79+P79+U79</f>
        <v>0</v>
      </c>
      <c r="G79" s="3">
        <f>L79+Q79+V79</f>
        <v>0</v>
      </c>
      <c r="H79" s="3">
        <f t="shared" si="146"/>
        <v>5981.2999999999993</v>
      </c>
      <c r="I79" s="3"/>
      <c r="J79" s="62">
        <v>0</v>
      </c>
      <c r="K79" s="63"/>
      <c r="L79" s="63"/>
      <c r="M79" s="63">
        <v>0</v>
      </c>
      <c r="N79" s="63"/>
      <c r="O79" s="62">
        <f>R79</f>
        <v>1107.7</v>
      </c>
      <c r="P79" s="63"/>
      <c r="Q79" s="63"/>
      <c r="R79" s="63">
        <v>1107.7</v>
      </c>
      <c r="S79" s="63"/>
      <c r="T79" s="62">
        <f>SUM(U79:X79)</f>
        <v>1183</v>
      </c>
      <c r="U79" s="64"/>
      <c r="V79" s="64"/>
      <c r="W79" s="64">
        <v>1183</v>
      </c>
      <c r="X79" s="64"/>
      <c r="Y79" s="62">
        <f>SUM(Z79:AC79)</f>
        <v>1230.2</v>
      </c>
      <c r="Z79" s="64"/>
      <c r="AA79" s="64"/>
      <c r="AB79" s="64">
        <v>1230.2</v>
      </c>
      <c r="AC79" s="64"/>
      <c r="AD79" s="62">
        <f>SUM(AE79:AH79)</f>
        <v>1230.2</v>
      </c>
      <c r="AE79" s="64"/>
      <c r="AF79" s="64"/>
      <c r="AG79" s="64">
        <v>1230.2</v>
      </c>
      <c r="AH79" s="64"/>
      <c r="AI79" s="62">
        <f>SUM(AJ79:AM79)</f>
        <v>1230.2</v>
      </c>
      <c r="AJ79" s="64"/>
      <c r="AK79" s="64"/>
      <c r="AL79" s="64">
        <v>1230.2</v>
      </c>
      <c r="AM79" s="64"/>
    </row>
    <row r="80" spans="1:39" s="54" customFormat="1" ht="47.25" customHeight="1" outlineLevel="2" x14ac:dyDescent="0.25">
      <c r="A80" s="59" t="s">
        <v>34</v>
      </c>
      <c r="B80" s="174" t="s">
        <v>57</v>
      </c>
      <c r="C80" s="174"/>
      <c r="D80" s="174"/>
      <c r="E80" s="60">
        <f>SUM(E81:E97)</f>
        <v>277886.59999999998</v>
      </c>
      <c r="F80" s="60">
        <f t="shared" ref="F80:AL80" si="154">SUM(F81:F97)</f>
        <v>0</v>
      </c>
      <c r="G80" s="60">
        <f t="shared" si="154"/>
        <v>0</v>
      </c>
      <c r="H80" s="60">
        <f t="shared" si="154"/>
        <v>277886.59999999998</v>
      </c>
      <c r="I80" s="60">
        <f t="shared" si="154"/>
        <v>0</v>
      </c>
      <c r="J80" s="60">
        <f t="shared" si="154"/>
        <v>38500.100000000006</v>
      </c>
      <c r="K80" s="60">
        <f t="shared" si="154"/>
        <v>0</v>
      </c>
      <c r="L80" s="60">
        <f t="shared" si="154"/>
        <v>0</v>
      </c>
      <c r="M80" s="60">
        <f t="shared" si="154"/>
        <v>38500.100000000006</v>
      </c>
      <c r="N80" s="60">
        <f t="shared" si="154"/>
        <v>0</v>
      </c>
      <c r="O80" s="60">
        <f t="shared" si="154"/>
        <v>47678.1</v>
      </c>
      <c r="P80" s="60">
        <f t="shared" si="154"/>
        <v>0</v>
      </c>
      <c r="Q80" s="60">
        <f t="shared" si="154"/>
        <v>0</v>
      </c>
      <c r="R80" s="60">
        <f>SUM(R81:R97)</f>
        <v>47678.1</v>
      </c>
      <c r="S80" s="60">
        <f t="shared" si="154"/>
        <v>0</v>
      </c>
      <c r="T80" s="60">
        <f t="shared" si="154"/>
        <v>47927.1</v>
      </c>
      <c r="U80" s="60">
        <f t="shared" si="154"/>
        <v>0</v>
      </c>
      <c r="V80" s="60">
        <f t="shared" si="154"/>
        <v>0</v>
      </c>
      <c r="W80" s="60">
        <f t="shared" si="154"/>
        <v>47927.1</v>
      </c>
      <c r="X80" s="60">
        <f t="shared" si="154"/>
        <v>0</v>
      </c>
      <c r="Y80" s="60">
        <f t="shared" si="154"/>
        <v>47927.1</v>
      </c>
      <c r="Z80" s="60">
        <f t="shared" si="154"/>
        <v>0</v>
      </c>
      <c r="AA80" s="60">
        <f t="shared" si="154"/>
        <v>0</v>
      </c>
      <c r="AB80" s="60">
        <f t="shared" si="154"/>
        <v>47927.1</v>
      </c>
      <c r="AC80" s="60">
        <f t="shared" si="154"/>
        <v>0</v>
      </c>
      <c r="AD80" s="60">
        <f t="shared" si="154"/>
        <v>47927.1</v>
      </c>
      <c r="AE80" s="60">
        <f t="shared" si="154"/>
        <v>0</v>
      </c>
      <c r="AF80" s="60">
        <f t="shared" si="154"/>
        <v>0</v>
      </c>
      <c r="AG80" s="60">
        <f t="shared" si="154"/>
        <v>47927.1</v>
      </c>
      <c r="AH80" s="60">
        <f t="shared" si="154"/>
        <v>0</v>
      </c>
      <c r="AI80" s="60">
        <f t="shared" si="154"/>
        <v>47927.1</v>
      </c>
      <c r="AJ80" s="60">
        <f t="shared" si="154"/>
        <v>0</v>
      </c>
      <c r="AK80" s="60">
        <f t="shared" si="154"/>
        <v>0</v>
      </c>
      <c r="AL80" s="60">
        <f t="shared" si="154"/>
        <v>47927.1</v>
      </c>
      <c r="AM80" s="60">
        <f>SUM(AM81:AM95)</f>
        <v>0</v>
      </c>
    </row>
    <row r="81" spans="1:39" ht="47.25" customHeight="1" outlineLevel="3" x14ac:dyDescent="0.25">
      <c r="A81" s="75" t="s">
        <v>126</v>
      </c>
      <c r="B81" s="7" t="s">
        <v>69</v>
      </c>
      <c r="C81" s="6" t="s">
        <v>67</v>
      </c>
      <c r="D81" s="8" t="s">
        <v>36</v>
      </c>
      <c r="E81" s="18">
        <f t="shared" ref="E81:E95" si="155">SUM(F81:I81)</f>
        <v>9108</v>
      </c>
      <c r="F81" s="3">
        <f t="shared" ref="F81:G95" si="156">K81+P81+U81</f>
        <v>0</v>
      </c>
      <c r="G81" s="3">
        <f t="shared" si="156"/>
        <v>0</v>
      </c>
      <c r="H81" s="3">
        <f t="shared" ref="H81:H97" si="157">M81+R81+W81+AB81+AG81+AL81</f>
        <v>9108</v>
      </c>
      <c r="I81" s="3">
        <f t="shared" ref="I81:I95" si="158">N81+S81+X81</f>
        <v>0</v>
      </c>
      <c r="J81" s="62">
        <f t="shared" ref="J81:J95" si="159">SUM(K81:N81)</f>
        <v>1518</v>
      </c>
      <c r="K81" s="63"/>
      <c r="L81" s="63"/>
      <c r="M81" s="63">
        <v>1518</v>
      </c>
      <c r="N81" s="63"/>
      <c r="O81" s="62">
        <f t="shared" ref="O81:O95" si="160">SUM(P81:S81)</f>
        <v>1518</v>
      </c>
      <c r="P81" s="63"/>
      <c r="Q81" s="63"/>
      <c r="R81" s="63">
        <v>1518</v>
      </c>
      <c r="S81" s="63"/>
      <c r="T81" s="62">
        <f t="shared" ref="T81:T95" si="161">SUM(U81:X81)</f>
        <v>1518</v>
      </c>
      <c r="U81" s="64"/>
      <c r="V81" s="64"/>
      <c r="W81" s="64">
        <v>1518</v>
      </c>
      <c r="X81" s="64"/>
      <c r="Y81" s="62">
        <f t="shared" ref="Y81:Y95" si="162">SUM(Z81:AC81)</f>
        <v>1518</v>
      </c>
      <c r="Z81" s="64"/>
      <c r="AA81" s="64"/>
      <c r="AB81" s="64">
        <v>1518</v>
      </c>
      <c r="AC81" s="64"/>
      <c r="AD81" s="62">
        <f t="shared" ref="AD81:AD95" si="163">SUM(AE81:AH81)</f>
        <v>1518</v>
      </c>
      <c r="AE81" s="64"/>
      <c r="AF81" s="64"/>
      <c r="AG81" s="64">
        <v>1518</v>
      </c>
      <c r="AH81" s="64"/>
      <c r="AI81" s="62">
        <f t="shared" ref="AI81:AI95" si="164">SUM(AJ81:AM81)</f>
        <v>1518</v>
      </c>
      <c r="AJ81" s="64"/>
      <c r="AK81" s="64"/>
      <c r="AL81" s="64">
        <v>1518</v>
      </c>
      <c r="AM81" s="64"/>
    </row>
    <row r="82" spans="1:39" ht="47.25" customHeight="1" outlineLevel="3" x14ac:dyDescent="0.25">
      <c r="A82" s="75" t="s">
        <v>127</v>
      </c>
      <c r="B82" s="7" t="s">
        <v>70</v>
      </c>
      <c r="C82" s="6" t="s">
        <v>67</v>
      </c>
      <c r="D82" s="8" t="s">
        <v>36</v>
      </c>
      <c r="E82" s="18">
        <f t="shared" si="155"/>
        <v>20320.8</v>
      </c>
      <c r="F82" s="3">
        <f t="shared" si="156"/>
        <v>0</v>
      </c>
      <c r="G82" s="3">
        <f t="shared" si="156"/>
        <v>0</v>
      </c>
      <c r="H82" s="3">
        <f t="shared" si="157"/>
        <v>20320.8</v>
      </c>
      <c r="I82" s="3">
        <f t="shared" si="158"/>
        <v>0</v>
      </c>
      <c r="J82" s="62">
        <f t="shared" si="159"/>
        <v>3386.8</v>
      </c>
      <c r="K82" s="63"/>
      <c r="L82" s="63"/>
      <c r="M82" s="63">
        <f>2662.8+724</f>
        <v>3386.8</v>
      </c>
      <c r="N82" s="63"/>
      <c r="O82" s="62">
        <f t="shared" si="160"/>
        <v>3386.8</v>
      </c>
      <c r="P82" s="63"/>
      <c r="Q82" s="63"/>
      <c r="R82" s="63">
        <v>3386.8</v>
      </c>
      <c r="S82" s="63"/>
      <c r="T82" s="62">
        <f t="shared" si="161"/>
        <v>3386.8</v>
      </c>
      <c r="U82" s="64"/>
      <c r="V82" s="64"/>
      <c r="W82" s="64">
        <v>3386.8</v>
      </c>
      <c r="X82" s="64"/>
      <c r="Y82" s="62">
        <f t="shared" si="162"/>
        <v>3386.8</v>
      </c>
      <c r="Z82" s="64"/>
      <c r="AA82" s="64"/>
      <c r="AB82" s="64">
        <v>3386.8</v>
      </c>
      <c r="AC82" s="64"/>
      <c r="AD82" s="62">
        <f t="shared" si="163"/>
        <v>3386.8</v>
      </c>
      <c r="AE82" s="64"/>
      <c r="AF82" s="64"/>
      <c r="AG82" s="64">
        <v>3386.8</v>
      </c>
      <c r="AH82" s="64"/>
      <c r="AI82" s="62">
        <f t="shared" si="164"/>
        <v>3386.8</v>
      </c>
      <c r="AJ82" s="64"/>
      <c r="AK82" s="64"/>
      <c r="AL82" s="64">
        <v>3386.8</v>
      </c>
      <c r="AM82" s="64"/>
    </row>
    <row r="83" spans="1:39" ht="47.25" customHeight="1" outlineLevel="3" x14ac:dyDescent="0.25">
      <c r="A83" s="75" t="s">
        <v>128</v>
      </c>
      <c r="B83" s="7" t="s">
        <v>163</v>
      </c>
      <c r="C83" s="6" t="s">
        <v>67</v>
      </c>
      <c r="D83" s="8" t="s">
        <v>36</v>
      </c>
      <c r="E83" s="18">
        <f t="shared" si="155"/>
        <v>14972.5</v>
      </c>
      <c r="F83" s="3">
        <f t="shared" si="156"/>
        <v>0</v>
      </c>
      <c r="G83" s="3">
        <f t="shared" si="156"/>
        <v>0</v>
      </c>
      <c r="H83" s="3">
        <f t="shared" si="157"/>
        <v>14972.5</v>
      </c>
      <c r="I83" s="3"/>
      <c r="J83" s="62">
        <v>0</v>
      </c>
      <c r="K83" s="63"/>
      <c r="L83" s="63"/>
      <c r="M83" s="63">
        <v>0</v>
      </c>
      <c r="N83" s="63"/>
      <c r="O83" s="62">
        <f>R83</f>
        <v>2994.5</v>
      </c>
      <c r="P83" s="63"/>
      <c r="Q83" s="63"/>
      <c r="R83" s="63">
        <v>2994.5</v>
      </c>
      <c r="S83" s="63"/>
      <c r="T83" s="62">
        <f>W83</f>
        <v>2994.5</v>
      </c>
      <c r="U83" s="64"/>
      <c r="V83" s="64"/>
      <c r="W83" s="64">
        <v>2994.5</v>
      </c>
      <c r="X83" s="64"/>
      <c r="Y83" s="62">
        <f>AB83</f>
        <v>2994.5</v>
      </c>
      <c r="Z83" s="64"/>
      <c r="AA83" s="64"/>
      <c r="AB83" s="64">
        <v>2994.5</v>
      </c>
      <c r="AC83" s="64"/>
      <c r="AD83" s="62">
        <f>AG83</f>
        <v>2994.5</v>
      </c>
      <c r="AE83" s="64"/>
      <c r="AF83" s="64"/>
      <c r="AG83" s="64">
        <v>2994.5</v>
      </c>
      <c r="AH83" s="64"/>
      <c r="AI83" s="62">
        <f>AL83</f>
        <v>2994.5</v>
      </c>
      <c r="AJ83" s="64"/>
      <c r="AK83" s="64"/>
      <c r="AL83" s="64">
        <v>2994.5</v>
      </c>
      <c r="AM83" s="64"/>
    </row>
    <row r="84" spans="1:39" ht="47.25" customHeight="1" outlineLevel="3" x14ac:dyDescent="0.25">
      <c r="A84" s="75" t="s">
        <v>129</v>
      </c>
      <c r="B84" s="7" t="s">
        <v>72</v>
      </c>
      <c r="C84" s="6" t="s">
        <v>67</v>
      </c>
      <c r="D84" s="8" t="s">
        <v>36</v>
      </c>
      <c r="E84" s="18">
        <f t="shared" si="155"/>
        <v>10785</v>
      </c>
      <c r="F84" s="3">
        <f t="shared" si="156"/>
        <v>0</v>
      </c>
      <c r="G84" s="3">
        <f t="shared" si="156"/>
        <v>0</v>
      </c>
      <c r="H84" s="3">
        <f t="shared" si="157"/>
        <v>10785</v>
      </c>
      <c r="I84" s="3">
        <f t="shared" si="158"/>
        <v>0</v>
      </c>
      <c r="J84" s="62">
        <f t="shared" si="159"/>
        <v>1797.5</v>
      </c>
      <c r="K84" s="63"/>
      <c r="L84" s="63"/>
      <c r="M84" s="63">
        <f>1797.4+0.1</f>
        <v>1797.5</v>
      </c>
      <c r="N84" s="63"/>
      <c r="O84" s="62">
        <f t="shared" si="160"/>
        <v>1797.5</v>
      </c>
      <c r="P84" s="63"/>
      <c r="Q84" s="63"/>
      <c r="R84" s="63">
        <v>1797.5</v>
      </c>
      <c r="S84" s="63"/>
      <c r="T84" s="62">
        <f t="shared" si="161"/>
        <v>1797.5</v>
      </c>
      <c r="U84" s="64"/>
      <c r="V84" s="64"/>
      <c r="W84" s="64">
        <v>1797.5</v>
      </c>
      <c r="X84" s="64"/>
      <c r="Y84" s="62">
        <f t="shared" si="162"/>
        <v>1797.5</v>
      </c>
      <c r="Z84" s="64"/>
      <c r="AA84" s="64"/>
      <c r="AB84" s="64">
        <v>1797.5</v>
      </c>
      <c r="AC84" s="64"/>
      <c r="AD84" s="62">
        <f t="shared" si="163"/>
        <v>1797.5</v>
      </c>
      <c r="AE84" s="64"/>
      <c r="AF84" s="64"/>
      <c r="AG84" s="64">
        <v>1797.5</v>
      </c>
      <c r="AH84" s="64"/>
      <c r="AI84" s="62">
        <f t="shared" si="164"/>
        <v>1797.5</v>
      </c>
      <c r="AJ84" s="64"/>
      <c r="AK84" s="64"/>
      <c r="AL84" s="64">
        <v>1797.5</v>
      </c>
      <c r="AM84" s="64"/>
    </row>
    <row r="85" spans="1:39" ht="47.25" customHeight="1" outlineLevel="3" x14ac:dyDescent="0.25">
      <c r="A85" s="75" t="s">
        <v>130</v>
      </c>
      <c r="B85" s="7" t="s">
        <v>73</v>
      </c>
      <c r="C85" s="6" t="s">
        <v>67</v>
      </c>
      <c r="D85" s="8" t="s">
        <v>36</v>
      </c>
      <c r="E85" s="18">
        <f t="shared" si="155"/>
        <v>16541.400000000001</v>
      </c>
      <c r="F85" s="3">
        <f t="shared" si="156"/>
        <v>0</v>
      </c>
      <c r="G85" s="3">
        <f t="shared" si="156"/>
        <v>0</v>
      </c>
      <c r="H85" s="3">
        <f t="shared" si="157"/>
        <v>16541.400000000001</v>
      </c>
      <c r="I85" s="3">
        <f t="shared" si="158"/>
        <v>0</v>
      </c>
      <c r="J85" s="62">
        <f t="shared" si="159"/>
        <v>2756.9</v>
      </c>
      <c r="K85" s="63"/>
      <c r="L85" s="63"/>
      <c r="M85" s="63">
        <f>2551+205.9</f>
        <v>2756.9</v>
      </c>
      <c r="N85" s="63"/>
      <c r="O85" s="62">
        <f t="shared" si="160"/>
        <v>2756.9</v>
      </c>
      <c r="P85" s="63"/>
      <c r="Q85" s="63"/>
      <c r="R85" s="63">
        <v>2756.9</v>
      </c>
      <c r="S85" s="63"/>
      <c r="T85" s="62">
        <f t="shared" si="161"/>
        <v>2756.9</v>
      </c>
      <c r="U85" s="64"/>
      <c r="V85" s="64"/>
      <c r="W85" s="64">
        <v>2756.9</v>
      </c>
      <c r="X85" s="64"/>
      <c r="Y85" s="62">
        <f t="shared" si="162"/>
        <v>2756.9</v>
      </c>
      <c r="Z85" s="64"/>
      <c r="AA85" s="64"/>
      <c r="AB85" s="64">
        <v>2756.9</v>
      </c>
      <c r="AC85" s="64"/>
      <c r="AD85" s="62">
        <f t="shared" si="163"/>
        <v>2756.9</v>
      </c>
      <c r="AE85" s="64"/>
      <c r="AF85" s="64"/>
      <c r="AG85" s="64">
        <v>2756.9</v>
      </c>
      <c r="AH85" s="64"/>
      <c r="AI85" s="62">
        <f t="shared" si="164"/>
        <v>2756.9</v>
      </c>
      <c r="AJ85" s="64"/>
      <c r="AK85" s="64"/>
      <c r="AL85" s="64">
        <v>2756.9</v>
      </c>
      <c r="AM85" s="64"/>
    </row>
    <row r="86" spans="1:39" ht="47.25" customHeight="1" outlineLevel="3" x14ac:dyDescent="0.25">
      <c r="A86" s="75" t="s">
        <v>131</v>
      </c>
      <c r="B86" s="7" t="s">
        <v>74</v>
      </c>
      <c r="C86" s="6" t="s">
        <v>67</v>
      </c>
      <c r="D86" s="8" t="s">
        <v>36</v>
      </c>
      <c r="E86" s="18">
        <f t="shared" si="155"/>
        <v>14170.2</v>
      </c>
      <c r="F86" s="3">
        <f t="shared" si="156"/>
        <v>0</v>
      </c>
      <c r="G86" s="3">
        <f t="shared" si="156"/>
        <v>0</v>
      </c>
      <c r="H86" s="3">
        <f t="shared" si="157"/>
        <v>14170.2</v>
      </c>
      <c r="I86" s="3">
        <f t="shared" si="158"/>
        <v>0</v>
      </c>
      <c r="J86" s="62">
        <f t="shared" si="159"/>
        <v>2361.6999999999998</v>
      </c>
      <c r="K86" s="63"/>
      <c r="L86" s="63"/>
      <c r="M86" s="63">
        <v>2361.6999999999998</v>
      </c>
      <c r="N86" s="63"/>
      <c r="O86" s="62">
        <f t="shared" si="160"/>
        <v>2361.6999999999998</v>
      </c>
      <c r="P86" s="63"/>
      <c r="Q86" s="63"/>
      <c r="R86" s="63">
        <v>2361.6999999999998</v>
      </c>
      <c r="S86" s="63"/>
      <c r="T86" s="62">
        <f t="shared" si="161"/>
        <v>2361.6999999999998</v>
      </c>
      <c r="U86" s="64"/>
      <c r="V86" s="64"/>
      <c r="W86" s="64">
        <v>2361.6999999999998</v>
      </c>
      <c r="X86" s="64"/>
      <c r="Y86" s="62">
        <f t="shared" si="162"/>
        <v>2361.6999999999998</v>
      </c>
      <c r="Z86" s="64"/>
      <c r="AA86" s="64"/>
      <c r="AB86" s="64">
        <v>2361.6999999999998</v>
      </c>
      <c r="AC86" s="64"/>
      <c r="AD86" s="62">
        <f t="shared" si="163"/>
        <v>2361.6999999999998</v>
      </c>
      <c r="AE86" s="64"/>
      <c r="AF86" s="64"/>
      <c r="AG86" s="64">
        <v>2361.6999999999998</v>
      </c>
      <c r="AH86" s="64"/>
      <c r="AI86" s="62">
        <f t="shared" si="164"/>
        <v>2361.6999999999998</v>
      </c>
      <c r="AJ86" s="64"/>
      <c r="AK86" s="64"/>
      <c r="AL86" s="64">
        <v>2361.6999999999998</v>
      </c>
      <c r="AM86" s="64"/>
    </row>
    <row r="87" spans="1:39" ht="47.25" customHeight="1" outlineLevel="3" x14ac:dyDescent="0.25">
      <c r="A87" s="75" t="s">
        <v>132</v>
      </c>
      <c r="B87" s="7" t="s">
        <v>75</v>
      </c>
      <c r="C87" s="6" t="s">
        <v>67</v>
      </c>
      <c r="D87" s="8" t="s">
        <v>36</v>
      </c>
      <c r="E87" s="18">
        <f t="shared" si="155"/>
        <v>17918.099999999999</v>
      </c>
      <c r="F87" s="3">
        <f t="shared" si="156"/>
        <v>0</v>
      </c>
      <c r="G87" s="3">
        <f t="shared" si="156"/>
        <v>0</v>
      </c>
      <c r="H87" s="3">
        <f t="shared" si="157"/>
        <v>17918.099999999999</v>
      </c>
      <c r="I87" s="3">
        <f t="shared" si="158"/>
        <v>0</v>
      </c>
      <c r="J87" s="62">
        <f t="shared" si="159"/>
        <v>3142.6</v>
      </c>
      <c r="K87" s="63"/>
      <c r="L87" s="63"/>
      <c r="M87" s="63">
        <f>2955.1+187.5</f>
        <v>3142.6</v>
      </c>
      <c r="N87" s="63"/>
      <c r="O87" s="62">
        <f t="shared" si="160"/>
        <v>2955.1</v>
      </c>
      <c r="P87" s="63"/>
      <c r="Q87" s="63"/>
      <c r="R87" s="63">
        <f>3623.5-668.4</f>
        <v>2955.1</v>
      </c>
      <c r="S87" s="63"/>
      <c r="T87" s="62">
        <f t="shared" si="161"/>
        <v>2955.1</v>
      </c>
      <c r="U87" s="63"/>
      <c r="V87" s="63"/>
      <c r="W87" s="63">
        <f>3623.5-668.4</f>
        <v>2955.1</v>
      </c>
      <c r="X87" s="63"/>
      <c r="Y87" s="62">
        <f t="shared" si="162"/>
        <v>2955.1</v>
      </c>
      <c r="Z87" s="63"/>
      <c r="AA87" s="63"/>
      <c r="AB87" s="63">
        <f>3623.5-668.4</f>
        <v>2955.1</v>
      </c>
      <c r="AC87" s="63"/>
      <c r="AD87" s="62">
        <f t="shared" si="163"/>
        <v>2955.1</v>
      </c>
      <c r="AE87" s="63"/>
      <c r="AF87" s="63"/>
      <c r="AG87" s="63">
        <f>3623.5-668.4</f>
        <v>2955.1</v>
      </c>
      <c r="AH87" s="63"/>
      <c r="AI87" s="62">
        <f t="shared" si="164"/>
        <v>2955.1</v>
      </c>
      <c r="AJ87" s="63"/>
      <c r="AK87" s="63"/>
      <c r="AL87" s="63">
        <f>3623.5-668.4</f>
        <v>2955.1</v>
      </c>
      <c r="AM87" s="64"/>
    </row>
    <row r="88" spans="1:39" ht="47.25" customHeight="1" outlineLevel="3" x14ac:dyDescent="0.25">
      <c r="A88" s="75" t="s">
        <v>133</v>
      </c>
      <c r="B88" s="7" t="s">
        <v>76</v>
      </c>
      <c r="C88" s="6" t="s">
        <v>67</v>
      </c>
      <c r="D88" s="8" t="s">
        <v>36</v>
      </c>
      <c r="E88" s="18">
        <f t="shared" si="155"/>
        <v>22019.9</v>
      </c>
      <c r="F88" s="3">
        <f t="shared" si="156"/>
        <v>0</v>
      </c>
      <c r="G88" s="3">
        <f t="shared" si="156"/>
        <v>0</v>
      </c>
      <c r="H88" s="3">
        <f t="shared" si="157"/>
        <v>22019.9</v>
      </c>
      <c r="I88" s="3">
        <f t="shared" si="158"/>
        <v>0</v>
      </c>
      <c r="J88" s="62">
        <f t="shared" si="159"/>
        <v>3669.9</v>
      </c>
      <c r="K88" s="63"/>
      <c r="L88" s="63"/>
      <c r="M88" s="63">
        <v>3669.9</v>
      </c>
      <c r="N88" s="63"/>
      <c r="O88" s="62">
        <f t="shared" si="160"/>
        <v>3670</v>
      </c>
      <c r="P88" s="63"/>
      <c r="Q88" s="63"/>
      <c r="R88" s="63">
        <v>3670</v>
      </c>
      <c r="S88" s="63"/>
      <c r="T88" s="62">
        <f t="shared" si="161"/>
        <v>3670</v>
      </c>
      <c r="U88" s="64"/>
      <c r="V88" s="64"/>
      <c r="W88" s="64">
        <v>3670</v>
      </c>
      <c r="X88" s="64"/>
      <c r="Y88" s="62">
        <f t="shared" si="162"/>
        <v>3670</v>
      </c>
      <c r="Z88" s="64"/>
      <c r="AA88" s="64"/>
      <c r="AB88" s="64">
        <v>3670</v>
      </c>
      <c r="AC88" s="64"/>
      <c r="AD88" s="62">
        <f t="shared" si="163"/>
        <v>3670</v>
      </c>
      <c r="AE88" s="64"/>
      <c r="AF88" s="64"/>
      <c r="AG88" s="64">
        <v>3670</v>
      </c>
      <c r="AH88" s="64"/>
      <c r="AI88" s="62">
        <f t="shared" si="164"/>
        <v>3670</v>
      </c>
      <c r="AJ88" s="64"/>
      <c r="AK88" s="64"/>
      <c r="AL88" s="64">
        <v>3670</v>
      </c>
      <c r="AM88" s="64"/>
    </row>
    <row r="89" spans="1:39" ht="47.25" customHeight="1" outlineLevel="3" x14ac:dyDescent="0.25">
      <c r="A89" s="75" t="s">
        <v>134</v>
      </c>
      <c r="B89" s="23" t="s">
        <v>78</v>
      </c>
      <c r="C89" s="6" t="s">
        <v>67</v>
      </c>
      <c r="D89" s="8" t="s">
        <v>36</v>
      </c>
      <c r="E89" s="18">
        <f t="shared" si="155"/>
        <v>21686.2</v>
      </c>
      <c r="F89" s="3">
        <f t="shared" si="156"/>
        <v>0</v>
      </c>
      <c r="G89" s="3">
        <f t="shared" si="156"/>
        <v>0</v>
      </c>
      <c r="H89" s="3">
        <f t="shared" si="157"/>
        <v>21686.2</v>
      </c>
      <c r="I89" s="3">
        <f t="shared" si="158"/>
        <v>0</v>
      </c>
      <c r="J89" s="62">
        <f t="shared" si="159"/>
        <v>3966</v>
      </c>
      <c r="K89" s="63"/>
      <c r="L89" s="63"/>
      <c r="M89" s="63">
        <f>3965.9+0.1</f>
        <v>3966</v>
      </c>
      <c r="N89" s="63"/>
      <c r="O89" s="62">
        <f t="shared" si="160"/>
        <v>3705.4</v>
      </c>
      <c r="P89" s="63"/>
      <c r="Q89" s="63"/>
      <c r="R89" s="63">
        <f>3966-260.6</f>
        <v>3705.4</v>
      </c>
      <c r="S89" s="63"/>
      <c r="T89" s="62">
        <f t="shared" si="161"/>
        <v>3503.7</v>
      </c>
      <c r="U89" s="63"/>
      <c r="V89" s="63"/>
      <c r="W89" s="63">
        <f>3966-462.3</f>
        <v>3503.7</v>
      </c>
      <c r="X89" s="63"/>
      <c r="Y89" s="62">
        <f t="shared" si="162"/>
        <v>3503.7</v>
      </c>
      <c r="Z89" s="63"/>
      <c r="AA89" s="63"/>
      <c r="AB89" s="63">
        <f>3966-462.3</f>
        <v>3503.7</v>
      </c>
      <c r="AC89" s="63"/>
      <c r="AD89" s="62">
        <f t="shared" si="163"/>
        <v>3503.7</v>
      </c>
      <c r="AE89" s="63"/>
      <c r="AF89" s="63"/>
      <c r="AG89" s="63">
        <v>3503.7</v>
      </c>
      <c r="AH89" s="63"/>
      <c r="AI89" s="62">
        <f t="shared" si="164"/>
        <v>3503.7</v>
      </c>
      <c r="AJ89" s="63"/>
      <c r="AK89" s="63"/>
      <c r="AL89" s="63">
        <v>3503.7</v>
      </c>
      <c r="AM89" s="64"/>
    </row>
    <row r="90" spans="1:39" ht="47.25" customHeight="1" outlineLevel="3" x14ac:dyDescent="0.25">
      <c r="A90" s="75" t="s">
        <v>135</v>
      </c>
      <c r="B90" s="23" t="s">
        <v>79</v>
      </c>
      <c r="C90" s="6" t="s">
        <v>67</v>
      </c>
      <c r="D90" s="8" t="s">
        <v>36</v>
      </c>
      <c r="E90" s="18">
        <f t="shared" si="155"/>
        <v>12389.099999999999</v>
      </c>
      <c r="F90" s="3">
        <f t="shared" si="156"/>
        <v>0</v>
      </c>
      <c r="G90" s="3">
        <f t="shared" si="156"/>
        <v>0</v>
      </c>
      <c r="H90" s="3">
        <f t="shared" si="157"/>
        <v>12389.099999999999</v>
      </c>
      <c r="I90" s="3">
        <f t="shared" si="158"/>
        <v>0</v>
      </c>
      <c r="J90" s="62">
        <f t="shared" si="159"/>
        <v>2097.1000000000004</v>
      </c>
      <c r="K90" s="63"/>
      <c r="L90" s="63"/>
      <c r="M90" s="63">
        <f>2200.8-103.7</f>
        <v>2097.1000000000004</v>
      </c>
      <c r="N90" s="63"/>
      <c r="O90" s="62">
        <f t="shared" si="160"/>
        <v>2058.4</v>
      </c>
      <c r="P90" s="63"/>
      <c r="Q90" s="63"/>
      <c r="R90" s="63">
        <v>2058.4</v>
      </c>
      <c r="S90" s="63"/>
      <c r="T90" s="62">
        <f t="shared" si="161"/>
        <v>2058.4</v>
      </c>
      <c r="U90" s="64"/>
      <c r="V90" s="64"/>
      <c r="W90" s="64">
        <v>2058.4</v>
      </c>
      <c r="X90" s="64"/>
      <c r="Y90" s="62">
        <f t="shared" si="162"/>
        <v>2058.4</v>
      </c>
      <c r="Z90" s="64"/>
      <c r="AA90" s="64"/>
      <c r="AB90" s="64">
        <v>2058.4</v>
      </c>
      <c r="AC90" s="64"/>
      <c r="AD90" s="62">
        <f t="shared" si="163"/>
        <v>2058.4</v>
      </c>
      <c r="AE90" s="64"/>
      <c r="AF90" s="64"/>
      <c r="AG90" s="64">
        <v>2058.4</v>
      </c>
      <c r="AH90" s="64"/>
      <c r="AI90" s="62">
        <f t="shared" si="164"/>
        <v>2058.4</v>
      </c>
      <c r="AJ90" s="64"/>
      <c r="AK90" s="64"/>
      <c r="AL90" s="64">
        <v>2058.4</v>
      </c>
      <c r="AM90" s="64"/>
    </row>
    <row r="91" spans="1:39" ht="47.25" customHeight="1" outlineLevel="3" x14ac:dyDescent="0.25">
      <c r="A91" s="75" t="s">
        <v>136</v>
      </c>
      <c r="B91" s="23" t="s">
        <v>80</v>
      </c>
      <c r="C91" s="6" t="s">
        <v>67</v>
      </c>
      <c r="D91" s="8" t="s">
        <v>36</v>
      </c>
      <c r="E91" s="18">
        <f t="shared" si="155"/>
        <v>21693.9</v>
      </c>
      <c r="F91" s="3">
        <f t="shared" si="156"/>
        <v>0</v>
      </c>
      <c r="G91" s="3">
        <f t="shared" si="156"/>
        <v>0</v>
      </c>
      <c r="H91" s="3">
        <f t="shared" si="157"/>
        <v>21693.9</v>
      </c>
      <c r="I91" s="3">
        <f t="shared" si="158"/>
        <v>0</v>
      </c>
      <c r="J91" s="62">
        <f t="shared" si="159"/>
        <v>3491.9</v>
      </c>
      <c r="K91" s="63"/>
      <c r="L91" s="63"/>
      <c r="M91" s="63">
        <f>2869.5+325.3+297.1</f>
        <v>3491.9</v>
      </c>
      <c r="N91" s="63"/>
      <c r="O91" s="62">
        <f t="shared" si="160"/>
        <v>3640.4</v>
      </c>
      <c r="P91" s="63"/>
      <c r="Q91" s="63"/>
      <c r="R91" s="63">
        <v>3640.4</v>
      </c>
      <c r="S91" s="63"/>
      <c r="T91" s="62">
        <f t="shared" si="161"/>
        <v>3640.4</v>
      </c>
      <c r="U91" s="64"/>
      <c r="V91" s="64"/>
      <c r="W91" s="64">
        <v>3640.4</v>
      </c>
      <c r="X91" s="64"/>
      <c r="Y91" s="62">
        <f t="shared" si="162"/>
        <v>3640.4</v>
      </c>
      <c r="Z91" s="64"/>
      <c r="AA91" s="64"/>
      <c r="AB91" s="64">
        <v>3640.4</v>
      </c>
      <c r="AC91" s="64"/>
      <c r="AD91" s="62">
        <f t="shared" si="163"/>
        <v>3640.4</v>
      </c>
      <c r="AE91" s="64"/>
      <c r="AF91" s="64"/>
      <c r="AG91" s="64">
        <v>3640.4</v>
      </c>
      <c r="AH91" s="64"/>
      <c r="AI91" s="62">
        <f t="shared" si="164"/>
        <v>3640.4</v>
      </c>
      <c r="AJ91" s="64"/>
      <c r="AK91" s="64"/>
      <c r="AL91" s="64">
        <v>3640.4</v>
      </c>
      <c r="AM91" s="64"/>
    </row>
    <row r="92" spans="1:39" ht="47.25" customHeight="1" outlineLevel="3" x14ac:dyDescent="0.25">
      <c r="A92" s="75" t="s">
        <v>137</v>
      </c>
      <c r="B92" s="23" t="s">
        <v>81</v>
      </c>
      <c r="C92" s="6" t="s">
        <v>67</v>
      </c>
      <c r="D92" s="8" t="s">
        <v>36</v>
      </c>
      <c r="E92" s="18">
        <f t="shared" si="155"/>
        <v>15396.499999999998</v>
      </c>
      <c r="F92" s="3">
        <f t="shared" si="156"/>
        <v>0</v>
      </c>
      <c r="G92" s="3">
        <f t="shared" si="156"/>
        <v>0</v>
      </c>
      <c r="H92" s="3">
        <f t="shared" si="157"/>
        <v>15396.499999999998</v>
      </c>
      <c r="I92" s="3">
        <f t="shared" si="158"/>
        <v>0</v>
      </c>
      <c r="J92" s="62">
        <f t="shared" si="159"/>
        <v>2567</v>
      </c>
      <c r="K92" s="63"/>
      <c r="L92" s="63"/>
      <c r="M92" s="63">
        <f>2704.1-424.4+287.3</f>
        <v>2567</v>
      </c>
      <c r="N92" s="63"/>
      <c r="O92" s="62">
        <f t="shared" si="160"/>
        <v>2565.9</v>
      </c>
      <c r="P92" s="63"/>
      <c r="Q92" s="63"/>
      <c r="R92" s="63">
        <v>2565.9</v>
      </c>
      <c r="S92" s="63"/>
      <c r="T92" s="62">
        <f t="shared" si="161"/>
        <v>2565.9</v>
      </c>
      <c r="U92" s="64"/>
      <c r="V92" s="64"/>
      <c r="W92" s="64">
        <v>2565.9</v>
      </c>
      <c r="X92" s="64"/>
      <c r="Y92" s="62">
        <f t="shared" si="162"/>
        <v>2565.9</v>
      </c>
      <c r="Z92" s="64"/>
      <c r="AA92" s="64"/>
      <c r="AB92" s="64">
        <v>2565.9</v>
      </c>
      <c r="AC92" s="64"/>
      <c r="AD92" s="62">
        <f t="shared" si="163"/>
        <v>2565.9</v>
      </c>
      <c r="AE92" s="64"/>
      <c r="AF92" s="64"/>
      <c r="AG92" s="64">
        <v>2565.9</v>
      </c>
      <c r="AH92" s="64"/>
      <c r="AI92" s="62">
        <f t="shared" si="164"/>
        <v>2565.9</v>
      </c>
      <c r="AJ92" s="64"/>
      <c r="AK92" s="64"/>
      <c r="AL92" s="64">
        <v>2565.9</v>
      </c>
      <c r="AM92" s="64"/>
    </row>
    <row r="93" spans="1:39" ht="47.25" customHeight="1" outlineLevel="3" x14ac:dyDescent="0.25">
      <c r="A93" s="75" t="s">
        <v>138</v>
      </c>
      <c r="B93" s="23" t="s">
        <v>82</v>
      </c>
      <c r="C93" s="6" t="s">
        <v>67</v>
      </c>
      <c r="D93" s="8" t="s">
        <v>36</v>
      </c>
      <c r="E93" s="18">
        <f t="shared" si="155"/>
        <v>8968.4000000000015</v>
      </c>
      <c r="F93" s="3">
        <f t="shared" si="156"/>
        <v>0</v>
      </c>
      <c r="G93" s="3">
        <f t="shared" si="156"/>
        <v>0</v>
      </c>
      <c r="H93" s="3">
        <f t="shared" si="157"/>
        <v>8968.4000000000015</v>
      </c>
      <c r="I93" s="3">
        <f t="shared" si="158"/>
        <v>0</v>
      </c>
      <c r="J93" s="62">
        <f t="shared" si="159"/>
        <v>1228.7</v>
      </c>
      <c r="K93" s="63"/>
      <c r="L93" s="63"/>
      <c r="M93" s="63">
        <v>1228.7</v>
      </c>
      <c r="N93" s="63"/>
      <c r="O93" s="62">
        <f t="shared" si="160"/>
        <v>1449.3</v>
      </c>
      <c r="P93" s="63"/>
      <c r="Q93" s="63"/>
      <c r="R93" s="63">
        <f>1228.7+220.6</f>
        <v>1449.3</v>
      </c>
      <c r="S93" s="63"/>
      <c r="T93" s="62">
        <f t="shared" si="161"/>
        <v>1572.6</v>
      </c>
      <c r="U93" s="63"/>
      <c r="V93" s="63"/>
      <c r="W93" s="63">
        <f>1228.7+343.9</f>
        <v>1572.6</v>
      </c>
      <c r="X93" s="63"/>
      <c r="Y93" s="62">
        <f t="shared" si="162"/>
        <v>1572.6</v>
      </c>
      <c r="Z93" s="63"/>
      <c r="AA93" s="63"/>
      <c r="AB93" s="63">
        <f>1228.7+343.9</f>
        <v>1572.6</v>
      </c>
      <c r="AC93" s="63"/>
      <c r="AD93" s="62">
        <f t="shared" si="163"/>
        <v>1572.6</v>
      </c>
      <c r="AE93" s="63"/>
      <c r="AF93" s="63"/>
      <c r="AG93" s="63">
        <v>1572.6</v>
      </c>
      <c r="AH93" s="63"/>
      <c r="AI93" s="62">
        <f t="shared" si="164"/>
        <v>1572.6</v>
      </c>
      <c r="AJ93" s="63"/>
      <c r="AK93" s="63"/>
      <c r="AL93" s="63">
        <v>1572.6</v>
      </c>
      <c r="AM93" s="64"/>
    </row>
    <row r="94" spans="1:39" ht="47.25" customHeight="1" outlineLevel="3" x14ac:dyDescent="0.25">
      <c r="A94" s="75" t="s">
        <v>139</v>
      </c>
      <c r="B94" s="23" t="s">
        <v>83</v>
      </c>
      <c r="C94" s="6" t="s">
        <v>67</v>
      </c>
      <c r="D94" s="8" t="s">
        <v>36</v>
      </c>
      <c r="E94" s="18">
        <f t="shared" si="155"/>
        <v>20355.599999999999</v>
      </c>
      <c r="F94" s="3">
        <f t="shared" si="156"/>
        <v>0</v>
      </c>
      <c r="G94" s="3">
        <f t="shared" si="156"/>
        <v>0</v>
      </c>
      <c r="H94" s="3">
        <f t="shared" si="157"/>
        <v>20355.599999999999</v>
      </c>
      <c r="I94" s="3">
        <f t="shared" si="158"/>
        <v>0</v>
      </c>
      <c r="J94" s="62">
        <f t="shared" si="159"/>
        <v>3392.6</v>
      </c>
      <c r="K94" s="63"/>
      <c r="L94" s="63"/>
      <c r="M94" s="63">
        <f>2669.7+722.9</f>
        <v>3392.6</v>
      </c>
      <c r="N94" s="63"/>
      <c r="O94" s="62">
        <f t="shared" si="160"/>
        <v>3392.6</v>
      </c>
      <c r="P94" s="63"/>
      <c r="Q94" s="63"/>
      <c r="R94" s="63">
        <v>3392.6</v>
      </c>
      <c r="S94" s="63"/>
      <c r="T94" s="62">
        <f t="shared" si="161"/>
        <v>3392.6</v>
      </c>
      <c r="U94" s="64"/>
      <c r="V94" s="64"/>
      <c r="W94" s="64">
        <v>3392.6</v>
      </c>
      <c r="X94" s="64"/>
      <c r="Y94" s="62">
        <f t="shared" si="162"/>
        <v>3392.6</v>
      </c>
      <c r="Z94" s="64"/>
      <c r="AA94" s="64"/>
      <c r="AB94" s="64">
        <v>3392.6</v>
      </c>
      <c r="AC94" s="64"/>
      <c r="AD94" s="62">
        <f t="shared" si="163"/>
        <v>3392.6</v>
      </c>
      <c r="AE94" s="64"/>
      <c r="AF94" s="64"/>
      <c r="AG94" s="64">
        <v>3392.6</v>
      </c>
      <c r="AH94" s="64"/>
      <c r="AI94" s="62">
        <f t="shared" si="164"/>
        <v>3392.6</v>
      </c>
      <c r="AJ94" s="64"/>
      <c r="AK94" s="64"/>
      <c r="AL94" s="64">
        <v>3392.6</v>
      </c>
      <c r="AM94" s="64"/>
    </row>
    <row r="95" spans="1:39" ht="47.25" customHeight="1" outlineLevel="3" x14ac:dyDescent="0.25">
      <c r="A95" s="75" t="s">
        <v>140</v>
      </c>
      <c r="B95" s="23" t="s">
        <v>84</v>
      </c>
      <c r="C95" s="6" t="s">
        <v>67</v>
      </c>
      <c r="D95" s="8" t="s">
        <v>36</v>
      </c>
      <c r="E95" s="18">
        <f t="shared" si="155"/>
        <v>5057.3999999999996</v>
      </c>
      <c r="F95" s="3">
        <f t="shared" si="156"/>
        <v>0</v>
      </c>
      <c r="G95" s="3">
        <f t="shared" si="156"/>
        <v>0</v>
      </c>
      <c r="H95" s="3">
        <f t="shared" si="157"/>
        <v>5057.3999999999996</v>
      </c>
      <c r="I95" s="3">
        <f t="shared" si="158"/>
        <v>0</v>
      </c>
      <c r="J95" s="62">
        <f t="shared" si="159"/>
        <v>799.9</v>
      </c>
      <c r="K95" s="63"/>
      <c r="L95" s="63"/>
      <c r="M95" s="63">
        <f>799.8+0.1</f>
        <v>799.9</v>
      </c>
      <c r="N95" s="63"/>
      <c r="O95" s="62">
        <f t="shared" si="160"/>
        <v>851.5</v>
      </c>
      <c r="P95" s="63"/>
      <c r="Q95" s="63"/>
      <c r="R95" s="63">
        <v>851.5</v>
      </c>
      <c r="S95" s="63"/>
      <c r="T95" s="62">
        <f t="shared" si="161"/>
        <v>851.5</v>
      </c>
      <c r="U95" s="64"/>
      <c r="V95" s="64"/>
      <c r="W95" s="64">
        <v>851.5</v>
      </c>
      <c r="X95" s="64"/>
      <c r="Y95" s="62">
        <f t="shared" si="162"/>
        <v>851.5</v>
      </c>
      <c r="Z95" s="64"/>
      <c r="AA95" s="64"/>
      <c r="AB95" s="64">
        <v>851.5</v>
      </c>
      <c r="AC95" s="64"/>
      <c r="AD95" s="62">
        <f t="shared" si="163"/>
        <v>851.5</v>
      </c>
      <c r="AE95" s="64"/>
      <c r="AF95" s="64"/>
      <c r="AG95" s="64">
        <v>851.5</v>
      </c>
      <c r="AH95" s="64"/>
      <c r="AI95" s="62">
        <f t="shared" si="164"/>
        <v>851.5</v>
      </c>
      <c r="AJ95" s="64"/>
      <c r="AK95" s="64"/>
      <c r="AL95" s="64">
        <v>851.5</v>
      </c>
      <c r="AM95" s="64"/>
    </row>
    <row r="96" spans="1:39" ht="47.25" customHeight="1" outlineLevel="3" x14ac:dyDescent="0.25">
      <c r="A96" s="75" t="s">
        <v>165</v>
      </c>
      <c r="B96" s="23" t="s">
        <v>77</v>
      </c>
      <c r="C96" s="6" t="s">
        <v>67</v>
      </c>
      <c r="D96" s="8" t="s">
        <v>36</v>
      </c>
      <c r="E96" s="18">
        <f>SUM(F96:I96)</f>
        <v>15929.1</v>
      </c>
      <c r="F96" s="3">
        <f>K96+P96+U96</f>
        <v>0</v>
      </c>
      <c r="G96" s="3">
        <f>L96+Q96+V96</f>
        <v>0</v>
      </c>
      <c r="H96" s="3">
        <f t="shared" si="157"/>
        <v>15929.1</v>
      </c>
      <c r="I96" s="3">
        <f>N96+S96+X96</f>
        <v>0</v>
      </c>
      <c r="J96" s="62">
        <f>SUM(K96:N96)</f>
        <v>2323.5</v>
      </c>
      <c r="K96" s="63"/>
      <c r="L96" s="63"/>
      <c r="M96" s="63">
        <f>2147.6+175.9</f>
        <v>2323.5</v>
      </c>
      <c r="N96" s="63"/>
      <c r="O96" s="62">
        <f>SUM(P96:S96)</f>
        <v>2459.1999999999998</v>
      </c>
      <c r="P96" s="63"/>
      <c r="Q96" s="63"/>
      <c r="R96" s="63">
        <f>2322.6+136.6</f>
        <v>2459.1999999999998</v>
      </c>
      <c r="S96" s="63"/>
      <c r="T96" s="62">
        <f>SUM(U96:X96)</f>
        <v>2786.6</v>
      </c>
      <c r="U96" s="63"/>
      <c r="V96" s="63"/>
      <c r="W96" s="63">
        <f>2322.6+464</f>
        <v>2786.6</v>
      </c>
      <c r="X96" s="63"/>
      <c r="Y96" s="62">
        <f>SUM(Z96:AC96)</f>
        <v>2786.6</v>
      </c>
      <c r="Z96" s="63"/>
      <c r="AA96" s="63"/>
      <c r="AB96" s="63">
        <f>2322.6+464</f>
        <v>2786.6</v>
      </c>
      <c r="AC96" s="63"/>
      <c r="AD96" s="62">
        <f>SUM(AE96:AH96)</f>
        <v>2786.6</v>
      </c>
      <c r="AE96" s="63"/>
      <c r="AF96" s="63"/>
      <c r="AG96" s="63">
        <f>2322.6+464</f>
        <v>2786.6</v>
      </c>
      <c r="AH96" s="63"/>
      <c r="AI96" s="62">
        <f>SUM(AJ96:AM96)</f>
        <v>2786.6</v>
      </c>
      <c r="AJ96" s="63"/>
      <c r="AK96" s="63"/>
      <c r="AL96" s="63">
        <f>2322.6+464</f>
        <v>2786.6</v>
      </c>
      <c r="AM96" s="64"/>
    </row>
    <row r="97" spans="1:39" ht="47.25" customHeight="1" outlineLevel="3" x14ac:dyDescent="0.25">
      <c r="A97" s="75" t="s">
        <v>166</v>
      </c>
      <c r="B97" s="7" t="s">
        <v>164</v>
      </c>
      <c r="C97" s="6" t="s">
        <v>67</v>
      </c>
      <c r="D97" s="8" t="s">
        <v>36</v>
      </c>
      <c r="E97" s="18">
        <f>SUM(F97:I97)</f>
        <v>30574.5</v>
      </c>
      <c r="F97" s="3">
        <f>K97+P97+U97</f>
        <v>0</v>
      </c>
      <c r="G97" s="3">
        <f>L97+Q97+V97</f>
        <v>0</v>
      </c>
      <c r="H97" s="3">
        <f t="shared" si="157"/>
        <v>30574.5</v>
      </c>
      <c r="I97" s="3"/>
      <c r="J97" s="62">
        <v>0</v>
      </c>
      <c r="K97" s="63"/>
      <c r="L97" s="63"/>
      <c r="M97" s="63">
        <v>0</v>
      </c>
      <c r="N97" s="63"/>
      <c r="O97" s="62">
        <f>R97</f>
        <v>6114.9</v>
      </c>
      <c r="P97" s="63"/>
      <c r="Q97" s="63"/>
      <c r="R97" s="63">
        <v>6114.9</v>
      </c>
      <c r="S97" s="63"/>
      <c r="T97" s="62">
        <f>W97</f>
        <v>6114.9</v>
      </c>
      <c r="U97" s="64"/>
      <c r="V97" s="64"/>
      <c r="W97" s="64">
        <v>6114.9</v>
      </c>
      <c r="X97" s="64"/>
      <c r="Y97" s="62">
        <f>AB97</f>
        <v>6114.9</v>
      </c>
      <c r="Z97" s="64"/>
      <c r="AA97" s="64"/>
      <c r="AB97" s="64">
        <v>6114.9</v>
      </c>
      <c r="AC97" s="64"/>
      <c r="AD97" s="62">
        <f>AG97</f>
        <v>6114.9</v>
      </c>
      <c r="AE97" s="64"/>
      <c r="AF97" s="64"/>
      <c r="AG97" s="64">
        <v>6114.9</v>
      </c>
      <c r="AH97" s="64"/>
      <c r="AI97" s="62">
        <f>AL97</f>
        <v>6114.9</v>
      </c>
      <c r="AJ97" s="64"/>
      <c r="AK97" s="64"/>
      <c r="AL97" s="64">
        <v>6114.9</v>
      </c>
      <c r="AM97" s="64"/>
    </row>
    <row r="98" spans="1:39" s="54" customFormat="1" ht="64.5" customHeight="1" outlineLevel="3" x14ac:dyDescent="0.25">
      <c r="A98" s="59" t="s">
        <v>35</v>
      </c>
      <c r="B98" s="174" t="s">
        <v>58</v>
      </c>
      <c r="C98" s="174"/>
      <c r="D98" s="174"/>
      <c r="E98" s="60">
        <f>SUM(E99:E115)</f>
        <v>5162.7</v>
      </c>
      <c r="F98" s="60">
        <f t="shared" ref="F98:AL98" si="165">SUM(F99:F115)</f>
        <v>0</v>
      </c>
      <c r="G98" s="60">
        <f t="shared" si="165"/>
        <v>0</v>
      </c>
      <c r="H98" s="60">
        <f>SUM(H99:H115)</f>
        <v>5162.7</v>
      </c>
      <c r="I98" s="60">
        <f t="shared" si="165"/>
        <v>0</v>
      </c>
      <c r="J98" s="60">
        <f>SUM(J99:J115)</f>
        <v>2240.6999999999998</v>
      </c>
      <c r="K98" s="60">
        <f t="shared" si="165"/>
        <v>0</v>
      </c>
      <c r="L98" s="60">
        <f t="shared" si="165"/>
        <v>0</v>
      </c>
      <c r="M98" s="60">
        <f t="shared" si="165"/>
        <v>2240.6999999999998</v>
      </c>
      <c r="N98" s="60">
        <f t="shared" si="165"/>
        <v>0</v>
      </c>
      <c r="O98" s="60">
        <f t="shared" si="165"/>
        <v>2106</v>
      </c>
      <c r="P98" s="60">
        <f t="shared" si="165"/>
        <v>0</v>
      </c>
      <c r="Q98" s="60">
        <f t="shared" si="165"/>
        <v>0</v>
      </c>
      <c r="R98" s="60">
        <f>SUM(R99:R115)</f>
        <v>2106</v>
      </c>
      <c r="S98" s="60">
        <f t="shared" si="165"/>
        <v>0</v>
      </c>
      <c r="T98" s="60">
        <f t="shared" si="165"/>
        <v>300</v>
      </c>
      <c r="U98" s="60">
        <f t="shared" si="165"/>
        <v>0</v>
      </c>
      <c r="V98" s="60">
        <f t="shared" si="165"/>
        <v>0</v>
      </c>
      <c r="W98" s="60">
        <f t="shared" si="165"/>
        <v>300</v>
      </c>
      <c r="X98" s="60">
        <f t="shared" si="165"/>
        <v>0</v>
      </c>
      <c r="Y98" s="60">
        <f t="shared" si="165"/>
        <v>516</v>
      </c>
      <c r="Z98" s="60">
        <f t="shared" si="165"/>
        <v>0</v>
      </c>
      <c r="AA98" s="60">
        <f t="shared" si="165"/>
        <v>0</v>
      </c>
      <c r="AB98" s="60">
        <f t="shared" si="165"/>
        <v>516</v>
      </c>
      <c r="AC98" s="60">
        <f t="shared" si="165"/>
        <v>0</v>
      </c>
      <c r="AD98" s="60">
        <f t="shared" si="165"/>
        <v>0</v>
      </c>
      <c r="AE98" s="60">
        <f t="shared" si="165"/>
        <v>0</v>
      </c>
      <c r="AF98" s="60">
        <f t="shared" si="165"/>
        <v>0</v>
      </c>
      <c r="AG98" s="60">
        <f t="shared" si="165"/>
        <v>0</v>
      </c>
      <c r="AH98" s="60">
        <f t="shared" si="165"/>
        <v>0</v>
      </c>
      <c r="AI98" s="60">
        <f t="shared" si="165"/>
        <v>0</v>
      </c>
      <c r="AJ98" s="60">
        <f t="shared" si="165"/>
        <v>0</v>
      </c>
      <c r="AK98" s="60">
        <f t="shared" si="165"/>
        <v>0</v>
      </c>
      <c r="AL98" s="60">
        <f t="shared" si="165"/>
        <v>0</v>
      </c>
      <c r="AM98" s="60">
        <f t="shared" ref="AM98" si="166">SUM(AM99:AM113)</f>
        <v>0</v>
      </c>
    </row>
    <row r="99" spans="1:39" ht="47.25" customHeight="1" outlineLevel="3" x14ac:dyDescent="0.25">
      <c r="A99" s="75" t="s">
        <v>141</v>
      </c>
      <c r="B99" s="7" t="s">
        <v>69</v>
      </c>
      <c r="C99" s="6" t="s">
        <v>67</v>
      </c>
      <c r="D99" s="8" t="s">
        <v>36</v>
      </c>
      <c r="E99" s="18">
        <f t="shared" ref="E99:E115" si="167">SUM(F99:I99)</f>
        <v>154.1</v>
      </c>
      <c r="F99" s="3">
        <f t="shared" ref="F99:G114" si="168">K99+P99+U99</f>
        <v>0</v>
      </c>
      <c r="G99" s="3">
        <f t="shared" si="168"/>
        <v>0</v>
      </c>
      <c r="H99" s="3">
        <f t="shared" ref="H99:H115" si="169">M99+R99+W99+AB99+AG99+AL99</f>
        <v>154.1</v>
      </c>
      <c r="I99" s="3">
        <f t="shared" ref="I99:I113" si="170">N99+S99+X99</f>
        <v>0</v>
      </c>
      <c r="J99" s="62">
        <f t="shared" ref="J99:J113" si="171">SUM(K99:N99)</f>
        <v>154.1</v>
      </c>
      <c r="K99" s="63"/>
      <c r="L99" s="63"/>
      <c r="M99" s="63">
        <v>154.1</v>
      </c>
      <c r="N99" s="63"/>
      <c r="O99" s="62">
        <f t="shared" ref="O99:O115" si="172">SUM(P99:S99)</f>
        <v>0</v>
      </c>
      <c r="P99" s="63"/>
      <c r="Q99" s="63"/>
      <c r="R99" s="63"/>
      <c r="S99" s="63"/>
      <c r="T99" s="62">
        <f t="shared" ref="T99:T115" si="173">SUM(U99:X99)</f>
        <v>0</v>
      </c>
      <c r="U99" s="64"/>
      <c r="V99" s="64"/>
      <c r="W99" s="64">
        <v>0</v>
      </c>
      <c r="X99" s="64"/>
      <c r="Y99" s="62">
        <f t="shared" ref="Y99:Y115" si="174">SUM(Z99:AC99)</f>
        <v>0</v>
      </c>
      <c r="Z99" s="64"/>
      <c r="AA99" s="64"/>
      <c r="AB99" s="64">
        <v>0</v>
      </c>
      <c r="AC99" s="64"/>
      <c r="AD99" s="62">
        <f t="shared" ref="AD99:AD115" si="175">SUM(AE99:AH99)</f>
        <v>0</v>
      </c>
      <c r="AE99" s="64"/>
      <c r="AF99" s="64"/>
      <c r="AG99" s="64">
        <v>0</v>
      </c>
      <c r="AH99" s="64"/>
      <c r="AI99" s="62">
        <f t="shared" ref="AI99:AI115" si="176">SUM(AJ99:AM99)</f>
        <v>0</v>
      </c>
      <c r="AJ99" s="64"/>
      <c r="AK99" s="64"/>
      <c r="AL99" s="64">
        <v>0</v>
      </c>
      <c r="AM99" s="64"/>
    </row>
    <row r="100" spans="1:39" ht="47.25" customHeight="1" outlineLevel="3" x14ac:dyDescent="0.25">
      <c r="A100" s="75" t="s">
        <v>142</v>
      </c>
      <c r="B100" s="7" t="s">
        <v>70</v>
      </c>
      <c r="C100" s="6" t="s">
        <v>67</v>
      </c>
      <c r="D100" s="8" t="s">
        <v>36</v>
      </c>
      <c r="E100" s="18">
        <f t="shared" si="167"/>
        <v>588</v>
      </c>
      <c r="F100" s="3">
        <f t="shared" si="168"/>
        <v>0</v>
      </c>
      <c r="G100" s="3">
        <f t="shared" si="168"/>
        <v>0</v>
      </c>
      <c r="H100" s="3">
        <f t="shared" si="169"/>
        <v>588</v>
      </c>
      <c r="I100" s="3">
        <f t="shared" si="170"/>
        <v>0</v>
      </c>
      <c r="J100" s="62">
        <f t="shared" si="171"/>
        <v>294</v>
      </c>
      <c r="K100" s="63"/>
      <c r="L100" s="63"/>
      <c r="M100" s="63">
        <v>294</v>
      </c>
      <c r="N100" s="63"/>
      <c r="O100" s="62">
        <f t="shared" si="172"/>
        <v>0</v>
      </c>
      <c r="P100" s="63"/>
      <c r="Q100" s="63"/>
      <c r="R100" s="63">
        <v>0</v>
      </c>
      <c r="S100" s="63"/>
      <c r="T100" s="62">
        <f t="shared" si="173"/>
        <v>0</v>
      </c>
      <c r="U100" s="64"/>
      <c r="V100" s="64"/>
      <c r="W100" s="64">
        <v>0</v>
      </c>
      <c r="X100" s="64"/>
      <c r="Y100" s="62">
        <f t="shared" si="174"/>
        <v>294</v>
      </c>
      <c r="Z100" s="64"/>
      <c r="AA100" s="64"/>
      <c r="AB100" s="64">
        <v>294</v>
      </c>
      <c r="AC100" s="64"/>
      <c r="AD100" s="62">
        <f t="shared" si="175"/>
        <v>0</v>
      </c>
      <c r="AE100" s="64"/>
      <c r="AF100" s="64"/>
      <c r="AG100" s="64">
        <v>0</v>
      </c>
      <c r="AH100" s="64"/>
      <c r="AI100" s="62">
        <f t="shared" si="176"/>
        <v>0</v>
      </c>
      <c r="AJ100" s="64"/>
      <c r="AK100" s="64"/>
      <c r="AL100" s="64">
        <v>0</v>
      </c>
      <c r="AM100" s="64"/>
    </row>
    <row r="101" spans="1:39" ht="47.25" customHeight="1" outlineLevel="3" x14ac:dyDescent="0.25">
      <c r="A101" s="75" t="s">
        <v>143</v>
      </c>
      <c r="B101" s="7" t="s">
        <v>71</v>
      </c>
      <c r="C101" s="6" t="s">
        <v>67</v>
      </c>
      <c r="D101" s="8" t="s">
        <v>36</v>
      </c>
      <c r="E101" s="18">
        <f t="shared" si="167"/>
        <v>187.4</v>
      </c>
      <c r="F101" s="3">
        <f t="shared" si="168"/>
        <v>0</v>
      </c>
      <c r="G101" s="3">
        <f t="shared" si="168"/>
        <v>0</v>
      </c>
      <c r="H101" s="3">
        <f t="shared" si="169"/>
        <v>187.4</v>
      </c>
      <c r="I101" s="3">
        <f t="shared" si="170"/>
        <v>0</v>
      </c>
      <c r="J101" s="62">
        <f t="shared" si="171"/>
        <v>187.4</v>
      </c>
      <c r="K101" s="63"/>
      <c r="L101" s="63"/>
      <c r="M101" s="63">
        <f>37.4+150</f>
        <v>187.4</v>
      </c>
      <c r="N101" s="63"/>
      <c r="O101" s="62">
        <f t="shared" si="172"/>
        <v>0</v>
      </c>
      <c r="P101" s="63"/>
      <c r="Q101" s="63"/>
      <c r="R101" s="63">
        <v>0</v>
      </c>
      <c r="S101" s="63"/>
      <c r="T101" s="62">
        <f t="shared" si="173"/>
        <v>0</v>
      </c>
      <c r="U101" s="64"/>
      <c r="V101" s="64"/>
      <c r="W101" s="64">
        <v>0</v>
      </c>
      <c r="X101" s="64"/>
      <c r="Y101" s="62">
        <f t="shared" si="174"/>
        <v>0</v>
      </c>
      <c r="Z101" s="64"/>
      <c r="AA101" s="64"/>
      <c r="AB101" s="64">
        <v>0</v>
      </c>
      <c r="AC101" s="64"/>
      <c r="AD101" s="62">
        <f t="shared" si="175"/>
        <v>0</v>
      </c>
      <c r="AE101" s="64"/>
      <c r="AF101" s="64"/>
      <c r="AG101" s="64">
        <v>0</v>
      </c>
      <c r="AH101" s="64"/>
      <c r="AI101" s="62">
        <f t="shared" si="176"/>
        <v>0</v>
      </c>
      <c r="AJ101" s="64"/>
      <c r="AK101" s="64"/>
      <c r="AL101" s="64">
        <v>0</v>
      </c>
      <c r="AM101" s="64"/>
    </row>
    <row r="102" spans="1:39" ht="47.25" customHeight="1" outlineLevel="3" x14ac:dyDescent="0.25">
      <c r="A102" s="75" t="s">
        <v>144</v>
      </c>
      <c r="B102" s="7" t="s">
        <v>72</v>
      </c>
      <c r="C102" s="6" t="s">
        <v>67</v>
      </c>
      <c r="D102" s="8" t="s">
        <v>36</v>
      </c>
      <c r="E102" s="18">
        <f t="shared" si="167"/>
        <v>150</v>
      </c>
      <c r="F102" s="3">
        <f t="shared" si="168"/>
        <v>0</v>
      </c>
      <c r="G102" s="3">
        <f t="shared" si="168"/>
        <v>0</v>
      </c>
      <c r="H102" s="3">
        <f t="shared" si="169"/>
        <v>150</v>
      </c>
      <c r="I102" s="3">
        <f t="shared" si="170"/>
        <v>0</v>
      </c>
      <c r="J102" s="62">
        <f t="shared" si="171"/>
        <v>0</v>
      </c>
      <c r="K102" s="63"/>
      <c r="L102" s="63"/>
      <c r="M102" s="63">
        <v>0</v>
      </c>
      <c r="N102" s="63"/>
      <c r="O102" s="62">
        <f t="shared" si="172"/>
        <v>0</v>
      </c>
      <c r="P102" s="63"/>
      <c r="Q102" s="63"/>
      <c r="R102" s="63">
        <v>0</v>
      </c>
      <c r="S102" s="63"/>
      <c r="T102" s="62">
        <f t="shared" si="173"/>
        <v>150</v>
      </c>
      <c r="U102" s="64"/>
      <c r="V102" s="64"/>
      <c r="W102" s="64">
        <v>150</v>
      </c>
      <c r="X102" s="64"/>
      <c r="Y102" s="62">
        <f t="shared" si="174"/>
        <v>0</v>
      </c>
      <c r="Z102" s="64"/>
      <c r="AA102" s="64"/>
      <c r="AB102" s="64">
        <v>0</v>
      </c>
      <c r="AC102" s="64"/>
      <c r="AD102" s="62">
        <f t="shared" si="175"/>
        <v>0</v>
      </c>
      <c r="AE102" s="64"/>
      <c r="AF102" s="64"/>
      <c r="AG102" s="64">
        <v>0</v>
      </c>
      <c r="AH102" s="64"/>
      <c r="AI102" s="62">
        <f t="shared" si="176"/>
        <v>0</v>
      </c>
      <c r="AJ102" s="64"/>
      <c r="AK102" s="64"/>
      <c r="AL102" s="64">
        <v>0</v>
      </c>
      <c r="AM102" s="64"/>
    </row>
    <row r="103" spans="1:39" ht="47.25" customHeight="1" outlineLevel="3" x14ac:dyDescent="0.25">
      <c r="A103" s="75" t="s">
        <v>145</v>
      </c>
      <c r="B103" s="7" t="s">
        <v>73</v>
      </c>
      <c r="C103" s="6" t="s">
        <v>67</v>
      </c>
      <c r="D103" s="8" t="s">
        <v>36</v>
      </c>
      <c r="E103" s="18">
        <f t="shared" si="167"/>
        <v>381.3</v>
      </c>
      <c r="F103" s="3">
        <f t="shared" si="168"/>
        <v>0</v>
      </c>
      <c r="G103" s="3">
        <f t="shared" si="168"/>
        <v>0</v>
      </c>
      <c r="H103" s="3">
        <f t="shared" si="169"/>
        <v>381.3</v>
      </c>
      <c r="I103" s="3">
        <f t="shared" si="170"/>
        <v>0</v>
      </c>
      <c r="J103" s="62">
        <f t="shared" si="171"/>
        <v>381.3</v>
      </c>
      <c r="K103" s="63"/>
      <c r="L103" s="63"/>
      <c r="M103" s="63">
        <f>150+231.3</f>
        <v>381.3</v>
      </c>
      <c r="N103" s="63"/>
      <c r="O103" s="62">
        <f t="shared" si="172"/>
        <v>0</v>
      </c>
      <c r="P103" s="63"/>
      <c r="Q103" s="63"/>
      <c r="R103" s="63">
        <v>0</v>
      </c>
      <c r="S103" s="63"/>
      <c r="T103" s="62">
        <f t="shared" si="173"/>
        <v>0</v>
      </c>
      <c r="U103" s="64"/>
      <c r="V103" s="64"/>
      <c r="W103" s="64">
        <v>0</v>
      </c>
      <c r="X103" s="64"/>
      <c r="Y103" s="62">
        <f t="shared" si="174"/>
        <v>0</v>
      </c>
      <c r="Z103" s="64"/>
      <c r="AA103" s="64"/>
      <c r="AB103" s="64">
        <v>0</v>
      </c>
      <c r="AC103" s="64"/>
      <c r="AD103" s="62">
        <f t="shared" si="175"/>
        <v>0</v>
      </c>
      <c r="AE103" s="64"/>
      <c r="AF103" s="64"/>
      <c r="AG103" s="64">
        <v>0</v>
      </c>
      <c r="AH103" s="64"/>
      <c r="AI103" s="62">
        <f t="shared" si="176"/>
        <v>0</v>
      </c>
      <c r="AJ103" s="64"/>
      <c r="AK103" s="64"/>
      <c r="AL103" s="64">
        <v>0</v>
      </c>
      <c r="AM103" s="64"/>
    </row>
    <row r="104" spans="1:39" ht="47.25" customHeight="1" outlineLevel="3" x14ac:dyDescent="0.25">
      <c r="A104" s="75" t="s">
        <v>146</v>
      </c>
      <c r="B104" s="7" t="s">
        <v>75</v>
      </c>
      <c r="C104" s="6" t="s">
        <v>67</v>
      </c>
      <c r="D104" s="8" t="s">
        <v>36</v>
      </c>
      <c r="E104" s="18">
        <f t="shared" si="167"/>
        <v>329.9</v>
      </c>
      <c r="F104" s="3">
        <f t="shared" si="168"/>
        <v>0</v>
      </c>
      <c r="G104" s="3">
        <f t="shared" si="168"/>
        <v>0</v>
      </c>
      <c r="H104" s="3">
        <f t="shared" si="169"/>
        <v>329.9</v>
      </c>
      <c r="I104" s="3">
        <f t="shared" si="170"/>
        <v>0</v>
      </c>
      <c r="J104" s="62">
        <f t="shared" si="171"/>
        <v>329.9</v>
      </c>
      <c r="K104" s="63"/>
      <c r="L104" s="63"/>
      <c r="M104" s="63">
        <f>107.9+222</f>
        <v>329.9</v>
      </c>
      <c r="N104" s="63"/>
      <c r="O104" s="62">
        <f t="shared" si="172"/>
        <v>0</v>
      </c>
      <c r="P104" s="63"/>
      <c r="Q104" s="63"/>
      <c r="R104" s="63">
        <v>0</v>
      </c>
      <c r="S104" s="63"/>
      <c r="T104" s="62">
        <f t="shared" si="173"/>
        <v>0</v>
      </c>
      <c r="U104" s="64"/>
      <c r="V104" s="64"/>
      <c r="W104" s="64">
        <v>0</v>
      </c>
      <c r="X104" s="64"/>
      <c r="Y104" s="62">
        <f t="shared" si="174"/>
        <v>0</v>
      </c>
      <c r="Z104" s="64"/>
      <c r="AA104" s="64"/>
      <c r="AB104" s="64">
        <v>0</v>
      </c>
      <c r="AC104" s="64"/>
      <c r="AD104" s="62">
        <f t="shared" si="175"/>
        <v>0</v>
      </c>
      <c r="AE104" s="64"/>
      <c r="AF104" s="64"/>
      <c r="AG104" s="64">
        <v>0</v>
      </c>
      <c r="AH104" s="64"/>
      <c r="AI104" s="62">
        <f t="shared" si="176"/>
        <v>0</v>
      </c>
      <c r="AJ104" s="64"/>
      <c r="AK104" s="64"/>
      <c r="AL104" s="64">
        <v>0</v>
      </c>
      <c r="AM104" s="64"/>
    </row>
    <row r="105" spans="1:39" ht="47.25" customHeight="1" outlineLevel="3" x14ac:dyDescent="0.25">
      <c r="A105" s="75" t="s">
        <v>147</v>
      </c>
      <c r="B105" s="7" t="s">
        <v>76</v>
      </c>
      <c r="C105" s="6" t="s">
        <v>67</v>
      </c>
      <c r="D105" s="8" t="s">
        <v>36</v>
      </c>
      <c r="E105" s="18">
        <f t="shared" si="167"/>
        <v>294</v>
      </c>
      <c r="F105" s="3">
        <f t="shared" si="168"/>
        <v>0</v>
      </c>
      <c r="G105" s="3">
        <f t="shared" si="168"/>
        <v>0</v>
      </c>
      <c r="H105" s="3">
        <f t="shared" si="169"/>
        <v>294</v>
      </c>
      <c r="I105" s="3">
        <f t="shared" si="170"/>
        <v>0</v>
      </c>
      <c r="J105" s="62">
        <f t="shared" si="171"/>
        <v>0</v>
      </c>
      <c r="K105" s="63"/>
      <c r="L105" s="63"/>
      <c r="M105" s="63">
        <v>0</v>
      </c>
      <c r="N105" s="63"/>
      <c r="O105" s="62">
        <f t="shared" si="172"/>
        <v>294</v>
      </c>
      <c r="P105" s="63"/>
      <c r="Q105" s="63"/>
      <c r="R105" s="63">
        <v>294</v>
      </c>
      <c r="S105" s="63"/>
      <c r="T105" s="62">
        <f t="shared" si="173"/>
        <v>0</v>
      </c>
      <c r="U105" s="64"/>
      <c r="V105" s="64"/>
      <c r="W105" s="64">
        <v>0</v>
      </c>
      <c r="X105" s="64"/>
      <c r="Y105" s="62">
        <f t="shared" si="174"/>
        <v>0</v>
      </c>
      <c r="Z105" s="64"/>
      <c r="AA105" s="64"/>
      <c r="AB105" s="64">
        <v>0</v>
      </c>
      <c r="AC105" s="64"/>
      <c r="AD105" s="62">
        <f t="shared" si="175"/>
        <v>0</v>
      </c>
      <c r="AE105" s="64"/>
      <c r="AF105" s="64"/>
      <c r="AG105" s="64">
        <v>0</v>
      </c>
      <c r="AH105" s="64"/>
      <c r="AI105" s="62">
        <f t="shared" si="176"/>
        <v>0</v>
      </c>
      <c r="AJ105" s="64"/>
      <c r="AK105" s="64"/>
      <c r="AL105" s="64">
        <v>0</v>
      </c>
      <c r="AM105" s="64"/>
    </row>
    <row r="106" spans="1:39" ht="47.25" customHeight="1" outlineLevel="3" x14ac:dyDescent="0.25">
      <c r="A106" s="75" t="s">
        <v>148</v>
      </c>
      <c r="B106" s="7" t="s">
        <v>77</v>
      </c>
      <c r="C106" s="6" t="s">
        <v>67</v>
      </c>
      <c r="D106" s="8" t="s">
        <v>36</v>
      </c>
      <c r="E106" s="18">
        <f t="shared" si="167"/>
        <v>300</v>
      </c>
      <c r="F106" s="3">
        <f t="shared" si="168"/>
        <v>0</v>
      </c>
      <c r="G106" s="3">
        <f t="shared" si="168"/>
        <v>0</v>
      </c>
      <c r="H106" s="3">
        <f t="shared" si="169"/>
        <v>300</v>
      </c>
      <c r="I106" s="3">
        <f t="shared" si="170"/>
        <v>0</v>
      </c>
      <c r="J106" s="62">
        <f t="shared" si="171"/>
        <v>150</v>
      </c>
      <c r="K106" s="63"/>
      <c r="L106" s="63"/>
      <c r="M106" s="63">
        <v>150</v>
      </c>
      <c r="N106" s="63"/>
      <c r="O106" s="62">
        <f t="shared" si="172"/>
        <v>150</v>
      </c>
      <c r="P106" s="63"/>
      <c r="Q106" s="63"/>
      <c r="R106" s="63">
        <v>150</v>
      </c>
      <c r="S106" s="63"/>
      <c r="T106" s="62">
        <f t="shared" si="173"/>
        <v>0</v>
      </c>
      <c r="U106" s="64"/>
      <c r="V106" s="64"/>
      <c r="W106" s="64">
        <v>0</v>
      </c>
      <c r="X106" s="64"/>
      <c r="Y106" s="62">
        <f t="shared" si="174"/>
        <v>0</v>
      </c>
      <c r="Z106" s="64"/>
      <c r="AA106" s="64"/>
      <c r="AB106" s="64">
        <v>0</v>
      </c>
      <c r="AC106" s="64"/>
      <c r="AD106" s="62">
        <f t="shared" si="175"/>
        <v>0</v>
      </c>
      <c r="AE106" s="64"/>
      <c r="AF106" s="64"/>
      <c r="AG106" s="64">
        <v>0</v>
      </c>
      <c r="AH106" s="64"/>
      <c r="AI106" s="62">
        <f t="shared" si="176"/>
        <v>0</v>
      </c>
      <c r="AJ106" s="64"/>
      <c r="AK106" s="64"/>
      <c r="AL106" s="64">
        <v>0</v>
      </c>
      <c r="AM106" s="64"/>
    </row>
    <row r="107" spans="1:39" ht="47.25" customHeight="1" outlineLevel="3" x14ac:dyDescent="0.25">
      <c r="A107" s="75" t="s">
        <v>149</v>
      </c>
      <c r="B107" s="7" t="s">
        <v>78</v>
      </c>
      <c r="C107" s="6" t="s">
        <v>67</v>
      </c>
      <c r="D107" s="8" t="s">
        <v>36</v>
      </c>
      <c r="E107" s="18">
        <f t="shared" si="167"/>
        <v>330</v>
      </c>
      <c r="F107" s="3">
        <f t="shared" si="168"/>
        <v>0</v>
      </c>
      <c r="G107" s="3">
        <f t="shared" si="168"/>
        <v>0</v>
      </c>
      <c r="H107" s="3">
        <f t="shared" si="169"/>
        <v>330</v>
      </c>
      <c r="I107" s="3">
        <f t="shared" si="170"/>
        <v>0</v>
      </c>
      <c r="J107" s="62">
        <f t="shared" si="171"/>
        <v>0</v>
      </c>
      <c r="K107" s="63"/>
      <c r="L107" s="63"/>
      <c r="M107" s="63">
        <v>0</v>
      </c>
      <c r="N107" s="63"/>
      <c r="O107" s="62">
        <f t="shared" si="172"/>
        <v>330</v>
      </c>
      <c r="P107" s="63"/>
      <c r="Q107" s="63"/>
      <c r="R107" s="63">
        <v>330</v>
      </c>
      <c r="S107" s="63"/>
      <c r="T107" s="62">
        <f t="shared" si="173"/>
        <v>0</v>
      </c>
      <c r="U107" s="64"/>
      <c r="V107" s="64"/>
      <c r="W107" s="64">
        <v>0</v>
      </c>
      <c r="X107" s="64"/>
      <c r="Y107" s="62">
        <f t="shared" si="174"/>
        <v>0</v>
      </c>
      <c r="Z107" s="64"/>
      <c r="AA107" s="64"/>
      <c r="AB107" s="64">
        <v>0</v>
      </c>
      <c r="AC107" s="64"/>
      <c r="AD107" s="62">
        <f t="shared" si="175"/>
        <v>0</v>
      </c>
      <c r="AE107" s="64"/>
      <c r="AF107" s="64"/>
      <c r="AG107" s="64">
        <v>0</v>
      </c>
      <c r="AH107" s="64"/>
      <c r="AI107" s="62">
        <f t="shared" si="176"/>
        <v>0</v>
      </c>
      <c r="AJ107" s="64"/>
      <c r="AK107" s="64"/>
      <c r="AL107" s="64">
        <v>0</v>
      </c>
      <c r="AM107" s="64"/>
    </row>
    <row r="108" spans="1:39" ht="47.25" customHeight="1" outlineLevel="3" x14ac:dyDescent="0.25">
      <c r="A108" s="75" t="s">
        <v>150</v>
      </c>
      <c r="B108" s="7" t="s">
        <v>79</v>
      </c>
      <c r="C108" s="6" t="s">
        <v>67</v>
      </c>
      <c r="D108" s="8" t="s">
        <v>36</v>
      </c>
      <c r="E108" s="18">
        <f t="shared" si="167"/>
        <v>222</v>
      </c>
      <c r="F108" s="3">
        <f t="shared" si="168"/>
        <v>0</v>
      </c>
      <c r="G108" s="3">
        <f t="shared" si="168"/>
        <v>0</v>
      </c>
      <c r="H108" s="3">
        <f t="shared" si="169"/>
        <v>222</v>
      </c>
      <c r="I108" s="3">
        <f t="shared" si="170"/>
        <v>0</v>
      </c>
      <c r="J108" s="62">
        <f t="shared" si="171"/>
        <v>222</v>
      </c>
      <c r="K108" s="63"/>
      <c r="L108" s="63"/>
      <c r="M108" s="63">
        <v>222</v>
      </c>
      <c r="N108" s="63"/>
      <c r="O108" s="62">
        <f t="shared" si="172"/>
        <v>0</v>
      </c>
      <c r="P108" s="63"/>
      <c r="Q108" s="63"/>
      <c r="R108" s="63">
        <v>0</v>
      </c>
      <c r="S108" s="63"/>
      <c r="T108" s="62">
        <f t="shared" si="173"/>
        <v>0</v>
      </c>
      <c r="U108" s="64"/>
      <c r="V108" s="64"/>
      <c r="W108" s="64">
        <v>0</v>
      </c>
      <c r="X108" s="64"/>
      <c r="Y108" s="62">
        <f t="shared" si="174"/>
        <v>0</v>
      </c>
      <c r="Z108" s="64"/>
      <c r="AA108" s="64"/>
      <c r="AB108" s="64">
        <v>0</v>
      </c>
      <c r="AC108" s="64"/>
      <c r="AD108" s="62">
        <f t="shared" si="175"/>
        <v>0</v>
      </c>
      <c r="AE108" s="64"/>
      <c r="AF108" s="64"/>
      <c r="AG108" s="64">
        <v>0</v>
      </c>
      <c r="AH108" s="64"/>
      <c r="AI108" s="62">
        <f t="shared" si="176"/>
        <v>0</v>
      </c>
      <c r="AJ108" s="64"/>
      <c r="AK108" s="64"/>
      <c r="AL108" s="64">
        <v>0</v>
      </c>
      <c r="AM108" s="64"/>
    </row>
    <row r="109" spans="1:39" ht="47.25" customHeight="1" outlineLevel="3" x14ac:dyDescent="0.25">
      <c r="A109" s="75" t="s">
        <v>151</v>
      </c>
      <c r="B109" s="7" t="s">
        <v>80</v>
      </c>
      <c r="C109" s="6" t="s">
        <v>67</v>
      </c>
      <c r="D109" s="8" t="s">
        <v>36</v>
      </c>
      <c r="E109" s="18">
        <f t="shared" si="167"/>
        <v>666</v>
      </c>
      <c r="F109" s="3">
        <f t="shared" si="168"/>
        <v>0</v>
      </c>
      <c r="G109" s="3">
        <f t="shared" si="168"/>
        <v>0</v>
      </c>
      <c r="H109" s="3">
        <f t="shared" si="169"/>
        <v>666</v>
      </c>
      <c r="I109" s="3">
        <f t="shared" si="170"/>
        <v>0</v>
      </c>
      <c r="J109" s="62">
        <f t="shared" si="171"/>
        <v>0</v>
      </c>
      <c r="K109" s="63"/>
      <c r="L109" s="63"/>
      <c r="M109" s="63">
        <v>0</v>
      </c>
      <c r="N109" s="63"/>
      <c r="O109" s="62">
        <f t="shared" si="172"/>
        <v>444</v>
      </c>
      <c r="P109" s="63"/>
      <c r="Q109" s="63"/>
      <c r="R109" s="63">
        <f>222+222</f>
        <v>444</v>
      </c>
      <c r="S109" s="63"/>
      <c r="T109" s="62">
        <f t="shared" si="173"/>
        <v>0</v>
      </c>
      <c r="U109" s="64"/>
      <c r="V109" s="64"/>
      <c r="W109" s="64">
        <v>0</v>
      </c>
      <c r="X109" s="64"/>
      <c r="Y109" s="62">
        <f t="shared" si="174"/>
        <v>222</v>
      </c>
      <c r="Z109" s="64"/>
      <c r="AA109" s="64"/>
      <c r="AB109" s="64">
        <v>222</v>
      </c>
      <c r="AC109" s="64"/>
      <c r="AD109" s="62">
        <f t="shared" si="175"/>
        <v>0</v>
      </c>
      <c r="AE109" s="64"/>
      <c r="AF109" s="64"/>
      <c r="AG109" s="64">
        <v>0</v>
      </c>
      <c r="AH109" s="64"/>
      <c r="AI109" s="62">
        <f t="shared" si="176"/>
        <v>0</v>
      </c>
      <c r="AJ109" s="64"/>
      <c r="AK109" s="64"/>
      <c r="AL109" s="64">
        <v>0</v>
      </c>
      <c r="AM109" s="64"/>
    </row>
    <row r="110" spans="1:39" ht="47.25" customHeight="1" outlineLevel="3" x14ac:dyDescent="0.25">
      <c r="A110" s="75" t="s">
        <v>152</v>
      </c>
      <c r="B110" s="7" t="s">
        <v>81</v>
      </c>
      <c r="C110" s="6" t="s">
        <v>67</v>
      </c>
      <c r="D110" s="8" t="s">
        <v>36</v>
      </c>
      <c r="E110" s="18">
        <f t="shared" si="167"/>
        <v>372</v>
      </c>
      <c r="F110" s="3">
        <f t="shared" si="168"/>
        <v>0</v>
      </c>
      <c r="G110" s="3">
        <f t="shared" si="168"/>
        <v>0</v>
      </c>
      <c r="H110" s="3">
        <f t="shared" si="169"/>
        <v>372</v>
      </c>
      <c r="I110" s="3">
        <f t="shared" si="170"/>
        <v>0</v>
      </c>
      <c r="J110" s="62">
        <f t="shared" si="171"/>
        <v>186</v>
      </c>
      <c r="K110" s="63"/>
      <c r="L110" s="63"/>
      <c r="M110" s="63">
        <v>186</v>
      </c>
      <c r="N110" s="63"/>
      <c r="O110" s="62">
        <f t="shared" si="172"/>
        <v>186</v>
      </c>
      <c r="P110" s="63"/>
      <c r="Q110" s="63"/>
      <c r="R110" s="63">
        <v>186</v>
      </c>
      <c r="S110" s="63"/>
      <c r="T110" s="62">
        <f t="shared" si="173"/>
        <v>0</v>
      </c>
      <c r="U110" s="64"/>
      <c r="V110" s="64"/>
      <c r="W110" s="64">
        <v>0</v>
      </c>
      <c r="X110" s="64"/>
      <c r="Y110" s="62">
        <f t="shared" si="174"/>
        <v>0</v>
      </c>
      <c r="Z110" s="64"/>
      <c r="AA110" s="64"/>
      <c r="AB110" s="64">
        <v>0</v>
      </c>
      <c r="AC110" s="64"/>
      <c r="AD110" s="62">
        <f t="shared" si="175"/>
        <v>0</v>
      </c>
      <c r="AE110" s="64"/>
      <c r="AF110" s="64"/>
      <c r="AG110" s="64">
        <v>0</v>
      </c>
      <c r="AH110" s="64"/>
      <c r="AI110" s="62">
        <f t="shared" si="176"/>
        <v>0</v>
      </c>
      <c r="AJ110" s="64"/>
      <c r="AK110" s="64"/>
      <c r="AL110" s="64">
        <v>0</v>
      </c>
      <c r="AM110" s="64"/>
    </row>
    <row r="111" spans="1:39" ht="47.25" customHeight="1" outlineLevel="3" x14ac:dyDescent="0.25">
      <c r="A111" s="75" t="s">
        <v>153</v>
      </c>
      <c r="B111" s="7" t="s">
        <v>82</v>
      </c>
      <c r="C111" s="6" t="s">
        <v>67</v>
      </c>
      <c r="D111" s="8" t="s">
        <v>36</v>
      </c>
      <c r="E111" s="18">
        <f t="shared" si="167"/>
        <v>300</v>
      </c>
      <c r="F111" s="3">
        <f t="shared" si="168"/>
        <v>0</v>
      </c>
      <c r="G111" s="3">
        <f t="shared" si="168"/>
        <v>0</v>
      </c>
      <c r="H111" s="3">
        <f t="shared" si="169"/>
        <v>300</v>
      </c>
      <c r="I111" s="3">
        <f t="shared" si="170"/>
        <v>0</v>
      </c>
      <c r="J111" s="62">
        <f t="shared" si="171"/>
        <v>150</v>
      </c>
      <c r="K111" s="63"/>
      <c r="L111" s="63"/>
      <c r="M111" s="63">
        <v>150</v>
      </c>
      <c r="N111" s="63"/>
      <c r="O111" s="62">
        <f t="shared" si="172"/>
        <v>0</v>
      </c>
      <c r="P111" s="63"/>
      <c r="Q111" s="63"/>
      <c r="R111" s="63">
        <v>0</v>
      </c>
      <c r="S111" s="63"/>
      <c r="T111" s="62">
        <f t="shared" si="173"/>
        <v>150</v>
      </c>
      <c r="U111" s="64"/>
      <c r="V111" s="64"/>
      <c r="W111" s="64">
        <v>150</v>
      </c>
      <c r="X111" s="64"/>
      <c r="Y111" s="62">
        <f t="shared" si="174"/>
        <v>0</v>
      </c>
      <c r="Z111" s="64"/>
      <c r="AA111" s="64"/>
      <c r="AB111" s="64">
        <v>0</v>
      </c>
      <c r="AC111" s="64"/>
      <c r="AD111" s="62">
        <f t="shared" si="175"/>
        <v>0</v>
      </c>
      <c r="AE111" s="64"/>
      <c r="AF111" s="64"/>
      <c r="AG111" s="64">
        <v>0</v>
      </c>
      <c r="AH111" s="64"/>
      <c r="AI111" s="62">
        <f t="shared" si="176"/>
        <v>0</v>
      </c>
      <c r="AJ111" s="64"/>
      <c r="AK111" s="64"/>
      <c r="AL111" s="64">
        <v>0</v>
      </c>
      <c r="AM111" s="64"/>
    </row>
    <row r="112" spans="1:39" ht="47.25" customHeight="1" outlineLevel="3" x14ac:dyDescent="0.25">
      <c r="A112" s="75" t="s">
        <v>154</v>
      </c>
      <c r="B112" s="7" t="s">
        <v>83</v>
      </c>
      <c r="C112" s="6" t="s">
        <v>67</v>
      </c>
      <c r="D112" s="8" t="s">
        <v>36</v>
      </c>
      <c r="E112" s="18">
        <f t="shared" si="167"/>
        <v>186</v>
      </c>
      <c r="F112" s="3">
        <f t="shared" si="168"/>
        <v>0</v>
      </c>
      <c r="G112" s="3">
        <f t="shared" si="168"/>
        <v>0</v>
      </c>
      <c r="H112" s="3">
        <f t="shared" si="169"/>
        <v>186</v>
      </c>
      <c r="I112" s="3">
        <f t="shared" si="170"/>
        <v>0</v>
      </c>
      <c r="J112" s="62">
        <f t="shared" si="171"/>
        <v>186</v>
      </c>
      <c r="K112" s="63"/>
      <c r="L112" s="63"/>
      <c r="M112" s="63">
        <v>186</v>
      </c>
      <c r="N112" s="63"/>
      <c r="O112" s="62">
        <f t="shared" si="172"/>
        <v>0</v>
      </c>
      <c r="P112" s="63"/>
      <c r="Q112" s="63"/>
      <c r="R112" s="63">
        <v>0</v>
      </c>
      <c r="S112" s="63"/>
      <c r="T112" s="62">
        <f t="shared" si="173"/>
        <v>0</v>
      </c>
      <c r="U112" s="64"/>
      <c r="V112" s="64"/>
      <c r="W112" s="64">
        <v>0</v>
      </c>
      <c r="X112" s="64"/>
      <c r="Y112" s="62">
        <f t="shared" si="174"/>
        <v>0</v>
      </c>
      <c r="Z112" s="64"/>
      <c r="AA112" s="64"/>
      <c r="AB112" s="64">
        <v>0</v>
      </c>
      <c r="AC112" s="64"/>
      <c r="AD112" s="62">
        <f t="shared" si="175"/>
        <v>0</v>
      </c>
      <c r="AE112" s="64"/>
      <c r="AF112" s="64"/>
      <c r="AG112" s="64">
        <v>0</v>
      </c>
      <c r="AH112" s="64"/>
      <c r="AI112" s="62">
        <f t="shared" si="176"/>
        <v>0</v>
      </c>
      <c r="AJ112" s="64"/>
      <c r="AK112" s="64"/>
      <c r="AL112" s="64">
        <v>0</v>
      </c>
      <c r="AM112" s="64"/>
    </row>
    <row r="113" spans="1:39" ht="47.25" customHeight="1" outlineLevel="3" x14ac:dyDescent="0.25">
      <c r="A113" s="75" t="s">
        <v>155</v>
      </c>
      <c r="B113" s="7" t="s">
        <v>84</v>
      </c>
      <c r="C113" s="6" t="s">
        <v>67</v>
      </c>
      <c r="D113" s="8" t="s">
        <v>36</v>
      </c>
      <c r="E113" s="18">
        <f t="shared" si="167"/>
        <v>186</v>
      </c>
      <c r="F113" s="3">
        <f t="shared" si="168"/>
        <v>0</v>
      </c>
      <c r="G113" s="3">
        <f t="shared" si="168"/>
        <v>0</v>
      </c>
      <c r="H113" s="3">
        <f t="shared" si="169"/>
        <v>186</v>
      </c>
      <c r="I113" s="3">
        <f t="shared" si="170"/>
        <v>0</v>
      </c>
      <c r="J113" s="62">
        <f t="shared" si="171"/>
        <v>0</v>
      </c>
      <c r="K113" s="63"/>
      <c r="L113" s="63"/>
      <c r="M113" s="63">
        <v>0</v>
      </c>
      <c r="N113" s="63"/>
      <c r="O113" s="62">
        <f t="shared" si="172"/>
        <v>186</v>
      </c>
      <c r="P113" s="63"/>
      <c r="Q113" s="63"/>
      <c r="R113" s="63">
        <v>186</v>
      </c>
      <c r="S113" s="63"/>
      <c r="T113" s="62">
        <f t="shared" si="173"/>
        <v>0</v>
      </c>
      <c r="U113" s="64"/>
      <c r="V113" s="64"/>
      <c r="W113" s="64">
        <v>0</v>
      </c>
      <c r="X113" s="64"/>
      <c r="Y113" s="62">
        <f t="shared" si="174"/>
        <v>0</v>
      </c>
      <c r="Z113" s="64"/>
      <c r="AA113" s="64"/>
      <c r="AB113" s="64">
        <v>0</v>
      </c>
      <c r="AC113" s="64"/>
      <c r="AD113" s="62">
        <f t="shared" si="175"/>
        <v>0</v>
      </c>
      <c r="AE113" s="64"/>
      <c r="AF113" s="64"/>
      <c r="AG113" s="64">
        <v>0</v>
      </c>
      <c r="AH113" s="64"/>
      <c r="AI113" s="62">
        <f t="shared" si="176"/>
        <v>0</v>
      </c>
      <c r="AJ113" s="64"/>
      <c r="AK113" s="64"/>
      <c r="AL113" s="64">
        <v>0</v>
      </c>
      <c r="AM113" s="64"/>
    </row>
    <row r="114" spans="1:39" ht="78.75" outlineLevel="2" x14ac:dyDescent="0.25">
      <c r="A114" s="75" t="s">
        <v>169</v>
      </c>
      <c r="B114" s="7" t="s">
        <v>163</v>
      </c>
      <c r="C114" s="6" t="s">
        <v>67</v>
      </c>
      <c r="D114" s="8" t="s">
        <v>36</v>
      </c>
      <c r="E114" s="18">
        <f t="shared" si="167"/>
        <v>222</v>
      </c>
      <c r="F114" s="3">
        <f t="shared" si="168"/>
        <v>0</v>
      </c>
      <c r="G114" s="3">
        <f t="shared" si="168"/>
        <v>0</v>
      </c>
      <c r="H114" s="3">
        <f t="shared" si="169"/>
        <v>222</v>
      </c>
      <c r="I114" s="76"/>
      <c r="J114" s="62">
        <v>0</v>
      </c>
      <c r="K114" s="63"/>
      <c r="L114" s="63"/>
      <c r="M114" s="63">
        <v>0</v>
      </c>
      <c r="N114" s="76"/>
      <c r="O114" s="25">
        <f t="shared" si="172"/>
        <v>222</v>
      </c>
      <c r="P114" s="26"/>
      <c r="Q114" s="77"/>
      <c r="R114" s="77">
        <v>222</v>
      </c>
      <c r="S114" s="76"/>
      <c r="T114" s="62">
        <f t="shared" si="173"/>
        <v>0</v>
      </c>
      <c r="U114" s="64"/>
      <c r="V114" s="64"/>
      <c r="W114" s="64">
        <v>0</v>
      </c>
      <c r="X114" s="64"/>
      <c r="Y114" s="62">
        <f t="shared" si="174"/>
        <v>0</v>
      </c>
      <c r="Z114" s="64"/>
      <c r="AA114" s="64"/>
      <c r="AB114" s="64">
        <v>0</v>
      </c>
      <c r="AC114" s="64"/>
      <c r="AD114" s="62">
        <f t="shared" si="175"/>
        <v>0</v>
      </c>
      <c r="AE114" s="64"/>
      <c r="AF114" s="64"/>
      <c r="AG114" s="64">
        <v>0</v>
      </c>
      <c r="AH114" s="64"/>
      <c r="AI114" s="62">
        <f t="shared" si="176"/>
        <v>0</v>
      </c>
      <c r="AJ114" s="64"/>
      <c r="AK114" s="64"/>
      <c r="AL114" s="64">
        <v>0</v>
      </c>
    </row>
    <row r="115" spans="1:39" ht="78.75" outlineLevel="2" x14ac:dyDescent="0.25">
      <c r="A115" s="75" t="s">
        <v>170</v>
      </c>
      <c r="B115" s="7" t="s">
        <v>164</v>
      </c>
      <c r="C115" s="6" t="s">
        <v>67</v>
      </c>
      <c r="D115" s="8" t="s">
        <v>36</v>
      </c>
      <c r="E115" s="18">
        <f t="shared" si="167"/>
        <v>294</v>
      </c>
      <c r="F115" s="3">
        <f t="shared" ref="F115:G115" si="177">K115+P115+U115</f>
        <v>0</v>
      </c>
      <c r="G115" s="3">
        <f t="shared" si="177"/>
        <v>0</v>
      </c>
      <c r="H115" s="3">
        <f t="shared" si="169"/>
        <v>294</v>
      </c>
      <c r="I115" s="76"/>
      <c r="J115" s="62">
        <v>0</v>
      </c>
      <c r="K115" s="63"/>
      <c r="L115" s="63"/>
      <c r="M115" s="63">
        <v>0</v>
      </c>
      <c r="N115" s="76"/>
      <c r="O115" s="25">
        <f t="shared" si="172"/>
        <v>294</v>
      </c>
      <c r="P115" s="26"/>
      <c r="Q115" s="77"/>
      <c r="R115" s="77">
        <v>294</v>
      </c>
      <c r="S115" s="76"/>
      <c r="T115" s="62">
        <f t="shared" si="173"/>
        <v>0</v>
      </c>
      <c r="U115" s="64"/>
      <c r="V115" s="64"/>
      <c r="W115" s="64">
        <v>0</v>
      </c>
      <c r="X115" s="64"/>
      <c r="Y115" s="62">
        <f t="shared" si="174"/>
        <v>0</v>
      </c>
      <c r="Z115" s="64"/>
      <c r="AA115" s="64"/>
      <c r="AB115" s="64">
        <v>0</v>
      </c>
      <c r="AC115" s="64"/>
      <c r="AD115" s="62">
        <f t="shared" si="175"/>
        <v>0</v>
      </c>
      <c r="AE115" s="64"/>
      <c r="AF115" s="64"/>
      <c r="AG115" s="64">
        <v>0</v>
      </c>
      <c r="AH115" s="64"/>
      <c r="AI115" s="62">
        <f t="shared" si="176"/>
        <v>0</v>
      </c>
      <c r="AJ115" s="64"/>
      <c r="AK115" s="64"/>
      <c r="AL115" s="64">
        <v>0</v>
      </c>
    </row>
    <row r="120" spans="1:39" x14ac:dyDescent="0.25">
      <c r="E120" s="50"/>
      <c r="F120" s="50"/>
      <c r="G120" s="50"/>
      <c r="H120" s="50"/>
      <c r="I120" s="50"/>
      <c r="J120" s="50"/>
      <c r="K120" s="50"/>
      <c r="L120" s="50"/>
      <c r="M120" s="50"/>
      <c r="N120" s="50"/>
      <c r="O120" s="50"/>
      <c r="P120" s="50"/>
      <c r="Q120" s="50"/>
      <c r="R120" s="50"/>
      <c r="S120" s="50"/>
      <c r="T120" s="50"/>
      <c r="U120" s="50"/>
      <c r="V120" s="50"/>
      <c r="W120" s="50"/>
      <c r="X120" s="50">
        <f>X117-X9</f>
        <v>0</v>
      </c>
      <c r="Y120" s="50"/>
      <c r="Z120" s="50"/>
      <c r="AA120" s="50"/>
      <c r="AB120" s="50"/>
      <c r="AC120" s="50">
        <f>AC117-AC9</f>
        <v>0</v>
      </c>
      <c r="AD120" s="50"/>
      <c r="AE120" s="50"/>
      <c r="AF120" s="50"/>
      <c r="AG120" s="50"/>
      <c r="AH120" s="50">
        <f>AH117-AH9</f>
        <v>0</v>
      </c>
      <c r="AI120" s="50"/>
      <c r="AJ120" s="50"/>
      <c r="AK120" s="50"/>
      <c r="AL120" s="50"/>
      <c r="AM120" s="50">
        <f>AM117-AM9</f>
        <v>0</v>
      </c>
    </row>
  </sheetData>
  <autoFilter ref="A4:X7">
    <filterColumn colId="4" showButton="0"/>
    <filterColumn colId="5" showButton="0"/>
    <filterColumn colId="6" showButton="0"/>
    <filterColumn colId="7" showButton="0"/>
    <filterColumn colId="9" showButton="0"/>
    <filterColumn colId="10" showButton="0"/>
    <filterColumn colId="11" showButton="0"/>
    <filterColumn colId="12" showButton="0"/>
    <filterColumn colId="13" showButton="0"/>
    <filterColumn colId="14" showButton="0"/>
    <filterColumn colId="15" showButton="0"/>
    <filterColumn colId="16" showButton="0"/>
    <filterColumn colId="17" showButton="0"/>
    <filterColumn colId="18" showButton="0"/>
    <filterColumn colId="19" showButton="0"/>
    <filterColumn colId="20" showButton="0"/>
    <filterColumn colId="21" showButton="0"/>
    <filterColumn colId="22" showButton="0"/>
  </autoFilter>
  <dataConsolidate/>
  <mergeCells count="50">
    <mergeCell ref="B98:D98"/>
    <mergeCell ref="B39:D39"/>
    <mergeCell ref="B40:D40"/>
    <mergeCell ref="B42:D42"/>
    <mergeCell ref="B44:D44"/>
    <mergeCell ref="B47:D47"/>
    <mergeCell ref="B52:D52"/>
    <mergeCell ref="C57:C59"/>
    <mergeCell ref="D57:D59"/>
    <mergeCell ref="B60:D60"/>
    <mergeCell ref="B61:D61"/>
    <mergeCell ref="B80:D80"/>
    <mergeCell ref="B20:D20"/>
    <mergeCell ref="B25:D25"/>
    <mergeCell ref="B30:D30"/>
    <mergeCell ref="B31:D31"/>
    <mergeCell ref="A36:A37"/>
    <mergeCell ref="B36:B37"/>
    <mergeCell ref="AJ6:AM6"/>
    <mergeCell ref="B9:D9"/>
    <mergeCell ref="B10:D10"/>
    <mergeCell ref="B11:D11"/>
    <mergeCell ref="AD6:AD7"/>
    <mergeCell ref="AE6:AH6"/>
    <mergeCell ref="T6:T7"/>
    <mergeCell ref="U6:X6"/>
    <mergeCell ref="Y6:Y7"/>
    <mergeCell ref="Z6:AC6"/>
    <mergeCell ref="AI6:AI7"/>
    <mergeCell ref="J6:J7"/>
    <mergeCell ref="K6:N6"/>
    <mergeCell ref="O6:O7"/>
    <mergeCell ref="P6:S6"/>
    <mergeCell ref="F6:I6"/>
    <mergeCell ref="B15:D15"/>
    <mergeCell ref="AG1:AL1"/>
    <mergeCell ref="A2:AL2"/>
    <mergeCell ref="A4:A7"/>
    <mergeCell ref="B4:B7"/>
    <mergeCell ref="C4:C7"/>
    <mergeCell ref="D4:D7"/>
    <mergeCell ref="E4:I5"/>
    <mergeCell ref="J4:AL4"/>
    <mergeCell ref="J5:N5"/>
    <mergeCell ref="O5:S5"/>
    <mergeCell ref="T5:X5"/>
    <mergeCell ref="Y5:AC5"/>
    <mergeCell ref="AD5:AH5"/>
    <mergeCell ref="AI5:AM5"/>
    <mergeCell ref="E6:E7"/>
  </mergeCells>
  <printOptions horizontalCentered="1"/>
  <pageMargins left="0.19685039370078741" right="0.19685039370078741" top="0.39370078740157483" bottom="0.39370078740157483" header="0.31496062992125984" footer="0.31496062992125984"/>
  <pageSetup paperSize="9" scale="4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48"/>
  <sheetViews>
    <sheetView zoomScaleNormal="100" zoomScaleSheetLayoutView="80" workbookViewId="0">
      <selection activeCell="D39" sqref="D39"/>
    </sheetView>
  </sheetViews>
  <sheetFormatPr defaultColWidth="9.140625" defaultRowHeight="15.75" x14ac:dyDescent="0.25"/>
  <cols>
    <col min="1" max="1" width="4.5703125" style="32" customWidth="1"/>
    <col min="2" max="2" width="28.42578125" style="32" customWidth="1"/>
    <col min="3" max="3" width="19.85546875" style="34" customWidth="1" collapsed="1"/>
    <col min="4" max="4" width="15.7109375" style="34" customWidth="1"/>
    <col min="5" max="5" width="13.42578125" style="32" customWidth="1"/>
    <col min="6" max="6" width="13.5703125" style="32" customWidth="1"/>
    <col min="7" max="7" width="12.5703125" style="35" customWidth="1"/>
    <col min="8" max="8" width="16.85546875" style="33" hidden="1" customWidth="1"/>
    <col min="9" max="9" width="16.85546875" style="32" hidden="1" customWidth="1"/>
    <col min="10" max="10" width="13.42578125" style="32" customWidth="1" collapsed="1"/>
    <col min="11" max="11" width="15.7109375" style="32" hidden="1" customWidth="1"/>
    <col min="12" max="12" width="15.7109375" style="33" hidden="1" customWidth="1"/>
    <col min="13" max="13" width="13.42578125" style="34" customWidth="1" collapsed="1"/>
    <col min="14" max="14" width="16.85546875" style="32" hidden="1" customWidth="1" collapsed="1"/>
    <col min="15" max="15" width="16.85546875" style="32" hidden="1" customWidth="1"/>
    <col min="16" max="16" width="12.7109375" style="32" customWidth="1" collapsed="1"/>
    <col min="17" max="17" width="10.28515625" style="32" bestFit="1" customWidth="1" collapsed="1"/>
    <col min="18" max="18" width="6.85546875" style="32" bestFit="1" customWidth="1"/>
    <col min="19" max="19" width="10.28515625" style="32" bestFit="1" customWidth="1"/>
    <col min="20" max="21" width="6.85546875" style="32" bestFit="1" customWidth="1"/>
    <col min="22" max="22" width="10.28515625" style="32" bestFit="1" customWidth="1"/>
    <col min="23" max="23" width="3.85546875" style="32" bestFit="1" customWidth="1"/>
    <col min="24" max="25" width="9.28515625" style="32" customWidth="1"/>
    <col min="26" max="16384" width="9.140625" style="32"/>
  </cols>
  <sheetData>
    <row r="1" spans="2:16" s="29" customFormat="1" ht="77.25" customHeight="1" x14ac:dyDescent="0.25">
      <c r="B1" s="30"/>
      <c r="C1" s="31"/>
      <c r="D1" s="31"/>
      <c r="G1" s="31"/>
      <c r="J1" s="210" t="s">
        <v>275</v>
      </c>
      <c r="K1" s="210"/>
      <c r="L1" s="210"/>
      <c r="M1" s="210"/>
      <c r="N1" s="210"/>
      <c r="O1" s="210"/>
      <c r="P1" s="210"/>
    </row>
    <row r="2" spans="2:16" s="29" customFormat="1" ht="17.25" customHeight="1" x14ac:dyDescent="0.25">
      <c r="B2" s="30"/>
      <c r="C2" s="31"/>
      <c r="D2" s="31"/>
      <c r="G2" s="31"/>
      <c r="J2" s="39"/>
      <c r="K2" s="39"/>
      <c r="L2" s="39"/>
      <c r="M2" s="39"/>
      <c r="N2" s="39"/>
      <c r="O2" s="39"/>
      <c r="P2" s="39"/>
    </row>
    <row r="3" spans="2:16" ht="34.5" customHeight="1" x14ac:dyDescent="0.25">
      <c r="B3" s="217" t="s">
        <v>183</v>
      </c>
      <c r="C3" s="217"/>
      <c r="D3" s="217"/>
      <c r="E3" s="217"/>
      <c r="F3" s="217"/>
      <c r="G3" s="217"/>
      <c r="H3" s="217"/>
      <c r="I3" s="217"/>
      <c r="J3" s="217"/>
      <c r="K3" s="217"/>
      <c r="L3" s="217"/>
      <c r="M3" s="217"/>
      <c r="N3" s="217"/>
      <c r="O3" s="217"/>
      <c r="P3" s="217"/>
    </row>
    <row r="4" spans="2:16" x14ac:dyDescent="0.25">
      <c r="M4" s="36"/>
    </row>
    <row r="5" spans="2:16" ht="15" customHeight="1" x14ac:dyDescent="0.25">
      <c r="B5" s="221" t="s">
        <v>4</v>
      </c>
      <c r="C5" s="218" t="s">
        <v>184</v>
      </c>
      <c r="D5" s="220" t="s">
        <v>188</v>
      </c>
      <c r="E5" s="220"/>
      <c r="F5" s="220"/>
      <c r="G5" s="220"/>
      <c r="H5" s="220"/>
      <c r="I5" s="220"/>
      <c r="J5" s="220"/>
      <c r="K5" s="220"/>
      <c r="L5" s="220"/>
      <c r="M5" s="220"/>
      <c r="N5" s="220"/>
      <c r="O5" s="220"/>
      <c r="P5" s="220"/>
    </row>
    <row r="6" spans="2:16" ht="18.75" customHeight="1" x14ac:dyDescent="0.25">
      <c r="B6" s="222"/>
      <c r="C6" s="224"/>
      <c r="D6" s="218" t="s">
        <v>1</v>
      </c>
      <c r="E6" s="220" t="s">
        <v>186</v>
      </c>
      <c r="F6" s="220"/>
      <c r="G6" s="220"/>
      <c r="H6" s="220"/>
      <c r="I6" s="220"/>
      <c r="J6" s="220"/>
      <c r="K6" s="220"/>
      <c r="L6" s="220"/>
      <c r="M6" s="220"/>
      <c r="N6" s="220"/>
      <c r="O6" s="220"/>
      <c r="P6" s="220"/>
    </row>
    <row r="7" spans="2:16" ht="18.75" customHeight="1" x14ac:dyDescent="0.25">
      <c r="B7" s="223"/>
      <c r="C7" s="219"/>
      <c r="D7" s="219"/>
      <c r="E7" s="44">
        <v>2017</v>
      </c>
      <c r="F7" s="44">
        <v>2018</v>
      </c>
      <c r="G7" s="44">
        <v>2019</v>
      </c>
      <c r="H7" s="44"/>
      <c r="I7" s="44"/>
      <c r="J7" s="44">
        <v>2020</v>
      </c>
      <c r="K7" s="44"/>
      <c r="L7" s="44"/>
      <c r="M7" s="44">
        <v>2021</v>
      </c>
      <c r="N7" s="44"/>
      <c r="O7" s="44"/>
      <c r="P7" s="44">
        <v>2022</v>
      </c>
    </row>
    <row r="8" spans="2:16" s="37" customFormat="1" x14ac:dyDescent="0.25">
      <c r="B8" s="38">
        <v>1</v>
      </c>
      <c r="C8" s="38">
        <v>2</v>
      </c>
      <c r="D8" s="38">
        <v>3</v>
      </c>
      <c r="E8" s="38">
        <v>4</v>
      </c>
      <c r="F8" s="38">
        <v>5</v>
      </c>
      <c r="G8" s="38">
        <v>6</v>
      </c>
      <c r="H8" s="38"/>
      <c r="I8" s="38"/>
      <c r="J8" s="38">
        <v>7</v>
      </c>
      <c r="K8" s="38"/>
      <c r="L8" s="38"/>
      <c r="M8" s="38">
        <v>8</v>
      </c>
      <c r="N8" s="38"/>
      <c r="O8" s="38"/>
      <c r="P8" s="38">
        <v>9</v>
      </c>
    </row>
    <row r="9" spans="2:16" s="34" customFormat="1" ht="21.75" customHeight="1" x14ac:dyDescent="0.25">
      <c r="B9" s="211" t="s">
        <v>158</v>
      </c>
      <c r="C9" s="42" t="s">
        <v>185</v>
      </c>
      <c r="D9" s="43">
        <f>SUM(D10:D13)</f>
        <v>1462909.7</v>
      </c>
      <c r="E9" s="43">
        <f>SUM(E10:E13)</f>
        <v>246073.60000000003</v>
      </c>
      <c r="F9" s="43">
        <f t="shared" ref="F9" si="0">SUM(F10:F13)</f>
        <v>263667.09999999998</v>
      </c>
      <c r="G9" s="43">
        <f t="shared" ref="G9" si="1">SUM(G10:G13)</f>
        <v>241059.3</v>
      </c>
      <c r="H9" s="43">
        <f t="shared" ref="H9" si="2">SUM(H10:H13)</f>
        <v>0</v>
      </c>
      <c r="I9" s="43">
        <f t="shared" ref="I9" si="3">SUM(I10:I13)</f>
        <v>0</v>
      </c>
      <c r="J9" s="43">
        <f t="shared" ref="J9" si="4">SUM(J10:J13)</f>
        <v>237784.7</v>
      </c>
      <c r="K9" s="43">
        <f t="shared" ref="K9" si="5">SUM(K10:K13)</f>
        <v>0</v>
      </c>
      <c r="L9" s="43">
        <f t="shared" ref="L9" si="6">SUM(L10:L13)</f>
        <v>0</v>
      </c>
      <c r="M9" s="43">
        <f t="shared" ref="M9" si="7">SUM(M10:M13)</f>
        <v>237162.5</v>
      </c>
      <c r="N9" s="43">
        <f t="shared" ref="N9" si="8">SUM(N10:N13)</f>
        <v>0</v>
      </c>
      <c r="O9" s="43">
        <f t="shared" ref="O9" si="9">SUM(O10:O13)</f>
        <v>0</v>
      </c>
      <c r="P9" s="43">
        <f t="shared" ref="P9" si="10">SUM(P10:P13)</f>
        <v>237162.5</v>
      </c>
    </row>
    <row r="10" spans="2:16" ht="35.25" customHeight="1" x14ac:dyDescent="0.25">
      <c r="B10" s="212"/>
      <c r="C10" s="41" t="s">
        <v>29</v>
      </c>
      <c r="D10" s="27">
        <f>SUM(E10:P10)</f>
        <v>0</v>
      </c>
      <c r="E10" s="27">
        <f>E15+E20+E25+E30+E35+E40</f>
        <v>0</v>
      </c>
      <c r="F10" s="27">
        <f t="shared" ref="F10:P10" si="11">F15+F20+F25+F30+F35+F40</f>
        <v>0</v>
      </c>
      <c r="G10" s="27">
        <f t="shared" si="11"/>
        <v>0</v>
      </c>
      <c r="H10" s="27">
        <f t="shared" si="11"/>
        <v>0</v>
      </c>
      <c r="I10" s="27">
        <f t="shared" si="11"/>
        <v>0</v>
      </c>
      <c r="J10" s="27">
        <f t="shared" si="11"/>
        <v>0</v>
      </c>
      <c r="K10" s="27">
        <f t="shared" si="11"/>
        <v>0</v>
      </c>
      <c r="L10" s="27">
        <f t="shared" si="11"/>
        <v>0</v>
      </c>
      <c r="M10" s="27">
        <f t="shared" si="11"/>
        <v>0</v>
      </c>
      <c r="N10" s="27">
        <f t="shared" si="11"/>
        <v>0</v>
      </c>
      <c r="O10" s="27">
        <f t="shared" si="11"/>
        <v>0</v>
      </c>
      <c r="P10" s="27">
        <f t="shared" si="11"/>
        <v>0</v>
      </c>
    </row>
    <row r="11" spans="2:16" ht="35.25" customHeight="1" x14ac:dyDescent="0.25">
      <c r="B11" s="212"/>
      <c r="C11" s="40" t="s">
        <v>30</v>
      </c>
      <c r="D11" s="27">
        <f t="shared" ref="D11:D13" si="12">SUM(E11:P11)</f>
        <v>0</v>
      </c>
      <c r="E11" s="27">
        <f>E16+E21+E26+E31+E36+E41</f>
        <v>0</v>
      </c>
      <c r="F11" s="27">
        <f t="shared" ref="F11:P11" si="13">F16+F21+F26+F31+F36+F41</f>
        <v>0</v>
      </c>
      <c r="G11" s="27">
        <f t="shared" si="13"/>
        <v>0</v>
      </c>
      <c r="H11" s="27">
        <f t="shared" si="13"/>
        <v>0</v>
      </c>
      <c r="I11" s="27">
        <f t="shared" si="13"/>
        <v>0</v>
      </c>
      <c r="J11" s="27">
        <f t="shared" si="13"/>
        <v>0</v>
      </c>
      <c r="K11" s="27">
        <f t="shared" si="13"/>
        <v>0</v>
      </c>
      <c r="L11" s="27">
        <f t="shared" si="13"/>
        <v>0</v>
      </c>
      <c r="M11" s="27">
        <f t="shared" si="13"/>
        <v>0</v>
      </c>
      <c r="N11" s="27">
        <f t="shared" si="13"/>
        <v>0</v>
      </c>
      <c r="O11" s="27">
        <f t="shared" si="13"/>
        <v>0</v>
      </c>
      <c r="P11" s="27">
        <f t="shared" si="13"/>
        <v>0</v>
      </c>
    </row>
    <row r="12" spans="2:16" ht="30" customHeight="1" x14ac:dyDescent="0.25">
      <c r="B12" s="212"/>
      <c r="C12" s="40" t="s">
        <v>31</v>
      </c>
      <c r="D12" s="27">
        <f t="shared" si="12"/>
        <v>1462909.7</v>
      </c>
      <c r="E12" s="27">
        <f t="shared" ref="E12:P13" si="14">E17+E22+E27+E32+E37+E42</f>
        <v>246073.60000000003</v>
      </c>
      <c r="F12" s="27">
        <f t="shared" si="14"/>
        <v>263667.09999999998</v>
      </c>
      <c r="G12" s="27">
        <f t="shared" si="14"/>
        <v>241059.3</v>
      </c>
      <c r="H12" s="27">
        <f t="shared" si="14"/>
        <v>0</v>
      </c>
      <c r="I12" s="27">
        <f t="shared" si="14"/>
        <v>0</v>
      </c>
      <c r="J12" s="27">
        <f t="shared" si="14"/>
        <v>237784.7</v>
      </c>
      <c r="K12" s="27">
        <f t="shared" si="14"/>
        <v>0</v>
      </c>
      <c r="L12" s="27">
        <f t="shared" si="14"/>
        <v>0</v>
      </c>
      <c r="M12" s="27">
        <f t="shared" si="14"/>
        <v>237162.5</v>
      </c>
      <c r="N12" s="27">
        <f t="shared" si="14"/>
        <v>0</v>
      </c>
      <c r="O12" s="27">
        <f t="shared" si="14"/>
        <v>0</v>
      </c>
      <c r="P12" s="27">
        <f t="shared" si="14"/>
        <v>237162.5</v>
      </c>
    </row>
    <row r="13" spans="2:16" ht="33" customHeight="1" x14ac:dyDescent="0.25">
      <c r="B13" s="213"/>
      <c r="C13" s="40" t="s">
        <v>187</v>
      </c>
      <c r="D13" s="27">
        <f t="shared" si="12"/>
        <v>0</v>
      </c>
      <c r="E13" s="27">
        <f t="shared" si="14"/>
        <v>0</v>
      </c>
      <c r="F13" s="27">
        <f t="shared" si="14"/>
        <v>0</v>
      </c>
      <c r="G13" s="27">
        <f t="shared" si="14"/>
        <v>0</v>
      </c>
      <c r="H13" s="27">
        <f t="shared" si="14"/>
        <v>0</v>
      </c>
      <c r="I13" s="27">
        <f t="shared" si="14"/>
        <v>0</v>
      </c>
      <c r="J13" s="27">
        <f t="shared" si="14"/>
        <v>0</v>
      </c>
      <c r="K13" s="27">
        <f t="shared" si="14"/>
        <v>0</v>
      </c>
      <c r="L13" s="27">
        <f t="shared" si="14"/>
        <v>0</v>
      </c>
      <c r="M13" s="27">
        <f t="shared" si="14"/>
        <v>0</v>
      </c>
      <c r="N13" s="27">
        <f t="shared" si="14"/>
        <v>0</v>
      </c>
      <c r="O13" s="27">
        <f t="shared" si="14"/>
        <v>0</v>
      </c>
      <c r="P13" s="27">
        <f t="shared" si="14"/>
        <v>0</v>
      </c>
    </row>
    <row r="14" spans="2:16" ht="16.5" customHeight="1" x14ac:dyDescent="0.25">
      <c r="B14" s="214" t="s">
        <v>5</v>
      </c>
      <c r="C14" s="42" t="s">
        <v>185</v>
      </c>
      <c r="D14" s="43">
        <f>SUM(D15:D18)</f>
        <v>549380.4</v>
      </c>
      <c r="E14" s="43">
        <f>SUM(E15:E18)</f>
        <v>100018.40000000001</v>
      </c>
      <c r="F14" s="43">
        <f t="shared" ref="F14:P14" si="15">SUM(F15:F18)</f>
        <v>91057.200000000012</v>
      </c>
      <c r="G14" s="43">
        <f t="shared" si="15"/>
        <v>89441.099999999991</v>
      </c>
      <c r="H14" s="43">
        <f t="shared" si="15"/>
        <v>0</v>
      </c>
      <c r="I14" s="43">
        <f t="shared" si="15"/>
        <v>0</v>
      </c>
      <c r="J14" s="43">
        <f t="shared" si="15"/>
        <v>89676.300000000017</v>
      </c>
      <c r="K14" s="43">
        <f t="shared" si="15"/>
        <v>0</v>
      </c>
      <c r="L14" s="43">
        <f t="shared" si="15"/>
        <v>0</v>
      </c>
      <c r="M14" s="43">
        <f t="shared" si="15"/>
        <v>89593.700000000012</v>
      </c>
      <c r="N14" s="43">
        <f t="shared" si="15"/>
        <v>0</v>
      </c>
      <c r="O14" s="43">
        <f t="shared" si="15"/>
        <v>0</v>
      </c>
      <c r="P14" s="43">
        <f t="shared" si="15"/>
        <v>89593.700000000012</v>
      </c>
    </row>
    <row r="15" spans="2:16" ht="35.25" customHeight="1" x14ac:dyDescent="0.25">
      <c r="B15" s="215"/>
      <c r="C15" s="41" t="s">
        <v>29</v>
      </c>
      <c r="D15" s="27">
        <f>SUM(E15:P15)</f>
        <v>0</v>
      </c>
      <c r="E15" s="27">
        <f>'Приложение 2 -ТЭО'!K10</f>
        <v>0</v>
      </c>
      <c r="F15" s="27">
        <f>'Приложение 2 -ТЭО'!P10</f>
        <v>0</v>
      </c>
      <c r="G15" s="27">
        <f>'Приложение 2 -ТЭО'!U10</f>
        <v>0</v>
      </c>
      <c r="H15" s="27"/>
      <c r="I15" s="27"/>
      <c r="J15" s="27">
        <f>'Приложение 2 -ТЭО'!Z10</f>
        <v>0</v>
      </c>
      <c r="K15" s="27"/>
      <c r="L15" s="27"/>
      <c r="M15" s="27">
        <f>'Приложение 2 -ТЭО'!AE10</f>
        <v>0</v>
      </c>
      <c r="N15" s="27"/>
      <c r="O15" s="27"/>
      <c r="P15" s="27">
        <f>'Приложение 2 -ТЭО'!AJ10</f>
        <v>0</v>
      </c>
    </row>
    <row r="16" spans="2:16" ht="35.25" customHeight="1" x14ac:dyDescent="0.25">
      <c r="B16" s="215"/>
      <c r="C16" s="40" t="s">
        <v>30</v>
      </c>
      <c r="D16" s="27">
        <f>SUM(E16:P16)</f>
        <v>0</v>
      </c>
      <c r="E16" s="27">
        <f>'Приложение 2 -ТЭО'!L10</f>
        <v>0</v>
      </c>
      <c r="F16" s="27">
        <f>'Приложение 2 -ТЭО'!Q10</f>
        <v>0</v>
      </c>
      <c r="G16" s="27">
        <f>'Приложение 2 -ТЭО'!V10</f>
        <v>0</v>
      </c>
      <c r="H16" s="27"/>
      <c r="I16" s="27"/>
      <c r="J16" s="27">
        <f>'Приложение 2 -ТЭО'!AA10</f>
        <v>0</v>
      </c>
      <c r="K16" s="27"/>
      <c r="L16" s="27"/>
      <c r="M16" s="27">
        <f>'Приложение 2 -ТЭО'!AF10</f>
        <v>0</v>
      </c>
      <c r="N16" s="27"/>
      <c r="O16" s="27"/>
      <c r="P16" s="27">
        <f>'Приложение 2 -ТЭО'!AK10</f>
        <v>0</v>
      </c>
    </row>
    <row r="17" spans="2:16" ht="30" customHeight="1" x14ac:dyDescent="0.25">
      <c r="B17" s="215"/>
      <c r="C17" s="40" t="s">
        <v>31</v>
      </c>
      <c r="D17" s="27">
        <f t="shared" ref="D17:D18" si="16">SUM(E17:P17)</f>
        <v>549380.4</v>
      </c>
      <c r="E17" s="27">
        <f>'Приложение 2 -ТЭО'!M10</f>
        <v>100018.40000000001</v>
      </c>
      <c r="F17" s="27">
        <f>'Приложение 2 -ТЭО'!R10</f>
        <v>91057.200000000012</v>
      </c>
      <c r="G17" s="27">
        <f>'Приложение 2 -ТЭО'!W10</f>
        <v>89441.099999999991</v>
      </c>
      <c r="H17" s="27"/>
      <c r="I17" s="27"/>
      <c r="J17" s="27">
        <f>'Приложение 2 -ТЭО'!AB10</f>
        <v>89676.300000000017</v>
      </c>
      <c r="K17" s="27"/>
      <c r="L17" s="27"/>
      <c r="M17" s="27">
        <f>'Приложение 2 -ТЭО'!AG10</f>
        <v>89593.700000000012</v>
      </c>
      <c r="N17" s="27"/>
      <c r="O17" s="27"/>
      <c r="P17" s="27">
        <f>'Приложение 2 -ТЭО'!AL10</f>
        <v>89593.700000000012</v>
      </c>
    </row>
    <row r="18" spans="2:16" ht="33" customHeight="1" x14ac:dyDescent="0.25">
      <c r="B18" s="216"/>
      <c r="C18" s="40" t="s">
        <v>187</v>
      </c>
      <c r="D18" s="27">
        <f t="shared" si="16"/>
        <v>0</v>
      </c>
      <c r="E18" s="27">
        <f>'Приложение 2 -ТЭО'!N10</f>
        <v>0</v>
      </c>
      <c r="F18" s="27">
        <f>'Приложение 2 -ТЭО'!S10</f>
        <v>0</v>
      </c>
      <c r="G18" s="27">
        <f>'Приложение 2 -ТЭО'!X10</f>
        <v>0</v>
      </c>
      <c r="H18" s="27"/>
      <c r="I18" s="27"/>
      <c r="J18" s="27">
        <f>'Приложение 2 -ТЭО'!AC10</f>
        <v>0</v>
      </c>
      <c r="K18" s="27"/>
      <c r="L18" s="27"/>
      <c r="M18" s="27">
        <f>'Приложение 2 -ТЭО'!AH10</f>
        <v>0</v>
      </c>
      <c r="N18" s="27"/>
      <c r="O18" s="27"/>
      <c r="P18" s="27">
        <f>'Приложение 2 -ТЭО'!AM10</f>
        <v>0</v>
      </c>
    </row>
    <row r="19" spans="2:16" ht="19.5" customHeight="1" x14ac:dyDescent="0.25">
      <c r="B19" s="214" t="s">
        <v>37</v>
      </c>
      <c r="C19" s="43" t="s">
        <v>185</v>
      </c>
      <c r="D19" s="43">
        <f>SUM(D20:D23)</f>
        <v>32073</v>
      </c>
      <c r="E19" s="43">
        <f>SUM(E20:E23)</f>
        <v>14976.8</v>
      </c>
      <c r="F19" s="43">
        <f t="shared" ref="F19" si="17">SUM(F20:F23)</f>
        <v>13842.400000000001</v>
      </c>
      <c r="G19" s="43">
        <f t="shared" ref="G19" si="18">SUM(G20:G23)</f>
        <v>3086.2</v>
      </c>
      <c r="H19" s="43">
        <f t="shared" ref="H19" si="19">SUM(H20:H23)</f>
        <v>0</v>
      </c>
      <c r="I19" s="43">
        <f t="shared" ref="I19" si="20">SUM(I20:I23)</f>
        <v>0</v>
      </c>
      <c r="J19" s="43">
        <f t="shared" ref="J19" si="21">SUM(J20:J23)</f>
        <v>71.599999999999994</v>
      </c>
      <c r="K19" s="43">
        <f t="shared" ref="K19" si="22">SUM(K20:K23)</f>
        <v>0</v>
      </c>
      <c r="L19" s="43">
        <f t="shared" ref="L19" si="23">SUM(L20:L23)</f>
        <v>0</v>
      </c>
      <c r="M19" s="43">
        <f t="shared" ref="M19" si="24">SUM(M20:M23)</f>
        <v>48</v>
      </c>
      <c r="N19" s="43">
        <f t="shared" ref="N19" si="25">SUM(N20:N23)</f>
        <v>0</v>
      </c>
      <c r="O19" s="43">
        <f t="shared" ref="O19" si="26">SUM(O20:O23)</f>
        <v>0</v>
      </c>
      <c r="P19" s="43">
        <f t="shared" ref="P19" si="27">SUM(P20:P23)</f>
        <v>48</v>
      </c>
    </row>
    <row r="20" spans="2:16" ht="35.25" customHeight="1" x14ac:dyDescent="0.25">
      <c r="B20" s="215"/>
      <c r="C20" s="41" t="s">
        <v>29</v>
      </c>
      <c r="D20" s="27">
        <f>SUM(E20:P20)</f>
        <v>0</v>
      </c>
      <c r="E20" s="27">
        <f>'Приложение 2 -ТЭО'!K30</f>
        <v>0</v>
      </c>
      <c r="F20" s="27">
        <f>'Приложение 2 -ТЭО'!P30</f>
        <v>0</v>
      </c>
      <c r="G20" s="27">
        <f>'Приложение 2 -ТЭО'!U30</f>
        <v>0</v>
      </c>
      <c r="H20" s="27"/>
      <c r="I20" s="27"/>
      <c r="J20" s="27">
        <f>'Приложение 2 -ТЭО'!Z30</f>
        <v>0</v>
      </c>
      <c r="K20" s="27"/>
      <c r="L20" s="27"/>
      <c r="M20" s="27">
        <f>'Приложение 2 -ТЭО'!AE30</f>
        <v>0</v>
      </c>
      <c r="N20" s="27"/>
      <c r="O20" s="27"/>
      <c r="P20" s="27">
        <f>'Приложение 2 -ТЭО'!AJ30</f>
        <v>0</v>
      </c>
    </row>
    <row r="21" spans="2:16" ht="35.25" customHeight="1" x14ac:dyDescent="0.25">
      <c r="B21" s="215"/>
      <c r="C21" s="40" t="s">
        <v>30</v>
      </c>
      <c r="D21" s="27">
        <f t="shared" ref="D21:D23" si="28">SUM(E21:P21)</f>
        <v>0</v>
      </c>
      <c r="E21" s="27">
        <f>'Приложение 2 -ТЭО'!L30</f>
        <v>0</v>
      </c>
      <c r="F21" s="27">
        <f>'Приложение 2 -ТЭО'!Q30</f>
        <v>0</v>
      </c>
      <c r="G21" s="27">
        <f>'Приложение 2 -ТЭО'!V30</f>
        <v>0</v>
      </c>
      <c r="H21" s="27"/>
      <c r="I21" s="27"/>
      <c r="J21" s="27">
        <f>'Приложение 2 -ТЭО'!AA30</f>
        <v>0</v>
      </c>
      <c r="K21" s="27"/>
      <c r="L21" s="27"/>
      <c r="M21" s="27">
        <f>'Приложение 2 -ТЭО'!AF30</f>
        <v>0</v>
      </c>
      <c r="N21" s="27"/>
      <c r="O21" s="27"/>
      <c r="P21" s="27">
        <f>'Приложение 2 -ТЭО'!AK30</f>
        <v>0</v>
      </c>
    </row>
    <row r="22" spans="2:16" ht="30" customHeight="1" x14ac:dyDescent="0.25">
      <c r="B22" s="215"/>
      <c r="C22" s="40" t="s">
        <v>31</v>
      </c>
      <c r="D22" s="27">
        <f t="shared" si="28"/>
        <v>32073</v>
      </c>
      <c r="E22" s="27">
        <f>'Приложение 2 -ТЭО'!M30</f>
        <v>14976.8</v>
      </c>
      <c r="F22" s="27">
        <f>'Приложение 2 -ТЭО'!R30</f>
        <v>13842.400000000001</v>
      </c>
      <c r="G22" s="27">
        <f>'Приложение 2 -ТЭО'!W30</f>
        <v>3086.2</v>
      </c>
      <c r="H22" s="27"/>
      <c r="I22" s="27"/>
      <c r="J22" s="27">
        <f>'Приложение 2 -ТЭО'!AB30</f>
        <v>71.599999999999994</v>
      </c>
      <c r="K22" s="27"/>
      <c r="L22" s="27"/>
      <c r="M22" s="27">
        <f>'Приложение 2 -ТЭО'!AG30</f>
        <v>48</v>
      </c>
      <c r="N22" s="27"/>
      <c r="O22" s="27"/>
      <c r="P22" s="27">
        <f>'Приложение 2 -ТЭО'!AL30</f>
        <v>48</v>
      </c>
    </row>
    <row r="23" spans="2:16" ht="33" customHeight="1" x14ac:dyDescent="0.25">
      <c r="B23" s="216"/>
      <c r="C23" s="40" t="s">
        <v>187</v>
      </c>
      <c r="D23" s="27">
        <f t="shared" si="28"/>
        <v>0</v>
      </c>
      <c r="E23" s="27">
        <f>'Приложение 2 -ТЭО'!N30</f>
        <v>0</v>
      </c>
      <c r="F23" s="27">
        <f>'Приложение 2 -ТЭО'!S30</f>
        <v>0</v>
      </c>
      <c r="G23" s="27">
        <f>'Приложение 2 -ТЭО'!X30</f>
        <v>0</v>
      </c>
      <c r="H23" s="27"/>
      <c r="I23" s="27"/>
      <c r="J23" s="27">
        <f>'Приложение 2 -ТЭО'!AC30</f>
        <v>0</v>
      </c>
      <c r="K23" s="27"/>
      <c r="L23" s="27"/>
      <c r="M23" s="27">
        <f>'Приложение 2 -ТЭО'!AH30</f>
        <v>0</v>
      </c>
      <c r="N23" s="27"/>
      <c r="O23" s="27"/>
      <c r="P23" s="27">
        <f>'Приложение 2 -ТЭО'!AM30</f>
        <v>0</v>
      </c>
    </row>
    <row r="24" spans="2:16" ht="15.75" customHeight="1" x14ac:dyDescent="0.25">
      <c r="B24" s="214" t="s">
        <v>17</v>
      </c>
      <c r="C24" s="42" t="s">
        <v>185</v>
      </c>
      <c r="D24" s="43">
        <f>SUM(D25:D28)</f>
        <v>427697</v>
      </c>
      <c r="E24" s="43">
        <f>SUM(E25:E28)</f>
        <v>63428</v>
      </c>
      <c r="F24" s="43">
        <f t="shared" ref="F24" si="29">SUM(F25:F28)</f>
        <v>79860.600000000006</v>
      </c>
      <c r="G24" s="43">
        <f t="shared" ref="G24" si="30">SUM(G25:G28)</f>
        <v>71075.399999999994</v>
      </c>
      <c r="H24" s="43">
        <f t="shared" ref="H24" si="31">SUM(H25:H28)</f>
        <v>0</v>
      </c>
      <c r="I24" s="43">
        <f t="shared" ref="I24" si="32">SUM(I25:I28)</f>
        <v>0</v>
      </c>
      <c r="J24" s="43">
        <f t="shared" ref="J24" si="33">SUM(J25:J28)</f>
        <v>71111</v>
      </c>
      <c r="K24" s="43">
        <f t="shared" ref="K24" si="34">SUM(K25:K28)</f>
        <v>0</v>
      </c>
      <c r="L24" s="43">
        <f t="shared" ref="L24" si="35">SUM(L25:L28)</f>
        <v>0</v>
      </c>
      <c r="M24" s="43">
        <f t="shared" ref="M24" si="36">SUM(M25:M28)</f>
        <v>71111</v>
      </c>
      <c r="N24" s="43">
        <f t="shared" ref="N24" si="37">SUM(N25:N28)</f>
        <v>0</v>
      </c>
      <c r="O24" s="43">
        <f t="shared" ref="O24" si="38">SUM(O25:O28)</f>
        <v>0</v>
      </c>
      <c r="P24" s="43">
        <f t="shared" ref="P24" si="39">SUM(P25:P28)</f>
        <v>71111</v>
      </c>
    </row>
    <row r="25" spans="2:16" ht="35.25" customHeight="1" x14ac:dyDescent="0.25">
      <c r="B25" s="215"/>
      <c r="C25" s="41" t="s">
        <v>29</v>
      </c>
      <c r="D25" s="27">
        <f>SUM(E25:P25)</f>
        <v>0</v>
      </c>
      <c r="E25" s="27">
        <f>'Приложение 2 -ТЭО'!K44</f>
        <v>0</v>
      </c>
      <c r="F25" s="27">
        <f>'Приложение 2 -ТЭО'!P44</f>
        <v>0</v>
      </c>
      <c r="G25" s="27">
        <f>'Приложение 2 -ТЭО'!U44</f>
        <v>0</v>
      </c>
      <c r="H25" s="27"/>
      <c r="I25" s="27"/>
      <c r="J25" s="27">
        <f>'Приложение 2 -ТЭО'!Z44</f>
        <v>0</v>
      </c>
      <c r="K25" s="27"/>
      <c r="L25" s="27"/>
      <c r="M25" s="27">
        <f>'Приложение 2 -ТЭО'!AE44</f>
        <v>0</v>
      </c>
      <c r="N25" s="27"/>
      <c r="O25" s="27"/>
      <c r="P25" s="27">
        <f>'Приложение 2 -ТЭО'!AJ44</f>
        <v>0</v>
      </c>
    </row>
    <row r="26" spans="2:16" ht="35.25" customHeight="1" x14ac:dyDescent="0.25">
      <c r="B26" s="215"/>
      <c r="C26" s="40" t="s">
        <v>30</v>
      </c>
      <c r="D26" s="27">
        <f t="shared" ref="D26:D28" si="40">SUM(E26:P26)</f>
        <v>0</v>
      </c>
      <c r="E26" s="27">
        <f>'Приложение 2 -ТЭО'!L44</f>
        <v>0</v>
      </c>
      <c r="F26" s="27">
        <f>'Приложение 2 -ТЭО'!Q44</f>
        <v>0</v>
      </c>
      <c r="G26" s="27">
        <f>'Приложение 2 -ТЭО'!V44</f>
        <v>0</v>
      </c>
      <c r="H26" s="27"/>
      <c r="I26" s="27"/>
      <c r="J26" s="27">
        <f>'Приложение 2 -ТЭО'!AA44</f>
        <v>0</v>
      </c>
      <c r="K26" s="27"/>
      <c r="L26" s="27"/>
      <c r="M26" s="27">
        <f>'Приложение 2 -ТЭО'!AF44</f>
        <v>0</v>
      </c>
      <c r="N26" s="27"/>
      <c r="O26" s="27"/>
      <c r="P26" s="27">
        <f>'Приложение 2 -ТЭО'!AK44</f>
        <v>0</v>
      </c>
    </row>
    <row r="27" spans="2:16" ht="30" customHeight="1" x14ac:dyDescent="0.25">
      <c r="B27" s="215"/>
      <c r="C27" s="40" t="s">
        <v>31</v>
      </c>
      <c r="D27" s="27">
        <f t="shared" si="40"/>
        <v>427697</v>
      </c>
      <c r="E27" s="27">
        <f>'Приложение 2 -ТЭО'!M44</f>
        <v>63428</v>
      </c>
      <c r="F27" s="27">
        <f>'Приложение 2 -ТЭО'!R44</f>
        <v>79860.600000000006</v>
      </c>
      <c r="G27" s="27">
        <f>'Приложение 2 -ТЭО'!W44</f>
        <v>71075.399999999994</v>
      </c>
      <c r="H27" s="27"/>
      <c r="I27" s="27"/>
      <c r="J27" s="27">
        <f>'Приложение 2 -ТЭО'!AB44</f>
        <v>71111</v>
      </c>
      <c r="K27" s="27"/>
      <c r="L27" s="27"/>
      <c r="M27" s="27">
        <f>'Приложение 2 -ТЭО'!AG44</f>
        <v>71111</v>
      </c>
      <c r="N27" s="27"/>
      <c r="O27" s="27"/>
      <c r="P27" s="27">
        <f>'Приложение 2 -ТЭО'!AL44</f>
        <v>71111</v>
      </c>
    </row>
    <row r="28" spans="2:16" ht="33" customHeight="1" x14ac:dyDescent="0.25">
      <c r="B28" s="216"/>
      <c r="C28" s="40" t="s">
        <v>187</v>
      </c>
      <c r="D28" s="27">
        <f t="shared" si="40"/>
        <v>0</v>
      </c>
      <c r="E28" s="27">
        <f>'Приложение 2 -ТЭО'!N44</f>
        <v>0</v>
      </c>
      <c r="F28" s="27">
        <f>'Приложение 2 -ТЭО'!S44</f>
        <v>0</v>
      </c>
      <c r="G28" s="27">
        <f>'Приложение 2 -ТЭО'!X44</f>
        <v>0</v>
      </c>
      <c r="H28" s="27"/>
      <c r="I28" s="27"/>
      <c r="J28" s="27">
        <f>'Приложение 2 -ТЭО'!AC44</f>
        <v>0</v>
      </c>
      <c r="K28" s="27"/>
      <c r="L28" s="27"/>
      <c r="M28" s="27">
        <f>'Приложение 2 -ТЭО'!AH44</f>
        <v>0</v>
      </c>
      <c r="N28" s="27"/>
      <c r="O28" s="27"/>
      <c r="P28" s="27">
        <f>'Приложение 2 -ТЭО'!AM44</f>
        <v>0</v>
      </c>
    </row>
    <row r="29" spans="2:16" ht="15.75" customHeight="1" x14ac:dyDescent="0.25">
      <c r="B29" s="214" t="s">
        <v>18</v>
      </c>
      <c r="C29" s="42" t="s">
        <v>185</v>
      </c>
      <c r="D29" s="43">
        <f>SUM(D30:D33)</f>
        <v>16210.1</v>
      </c>
      <c r="E29" s="43">
        <f>SUM(E30:E33)</f>
        <v>2129.9</v>
      </c>
      <c r="F29" s="43">
        <f t="shared" ref="F29" si="41">SUM(F30:F33)</f>
        <v>2752.9</v>
      </c>
      <c r="G29" s="43">
        <f t="shared" ref="G29" si="42">SUM(G30:G33)</f>
        <v>3003.5</v>
      </c>
      <c r="H29" s="43">
        <f t="shared" ref="H29" si="43">SUM(H30:H33)</f>
        <v>0</v>
      </c>
      <c r="I29" s="43">
        <f t="shared" ref="I29" si="44">SUM(I30:I33)</f>
        <v>0</v>
      </c>
      <c r="J29" s="43">
        <f t="shared" ref="J29" si="45">SUM(J30:J33)</f>
        <v>2774.6</v>
      </c>
      <c r="K29" s="43">
        <f t="shared" ref="K29" si="46">SUM(K30:K33)</f>
        <v>0</v>
      </c>
      <c r="L29" s="43">
        <f t="shared" ref="L29" si="47">SUM(L30:L33)</f>
        <v>0</v>
      </c>
      <c r="M29" s="43">
        <f t="shared" ref="M29" si="48">SUM(M30:M33)</f>
        <v>2774.6</v>
      </c>
      <c r="N29" s="43">
        <f t="shared" ref="N29" si="49">SUM(N30:N33)</f>
        <v>0</v>
      </c>
      <c r="O29" s="43">
        <f t="shared" ref="O29" si="50">SUM(O30:O33)</f>
        <v>0</v>
      </c>
      <c r="P29" s="43">
        <f t="shared" ref="P29" si="51">SUM(P30:P33)</f>
        <v>2774.6</v>
      </c>
    </row>
    <row r="30" spans="2:16" ht="35.25" customHeight="1" x14ac:dyDescent="0.25">
      <c r="B30" s="215"/>
      <c r="C30" s="41" t="s">
        <v>29</v>
      </c>
      <c r="D30" s="27">
        <f>SUM(E30:P30)</f>
        <v>0</v>
      </c>
      <c r="E30" s="27">
        <f>'Приложение 2 -ТЭО'!K47</f>
        <v>0</v>
      </c>
      <c r="F30" s="27">
        <f>'Приложение 2 -ТЭО'!P47</f>
        <v>0</v>
      </c>
      <c r="G30" s="27">
        <f>'Приложение 2 -ТЭО'!U47</f>
        <v>0</v>
      </c>
      <c r="H30" s="27"/>
      <c r="I30" s="27"/>
      <c r="J30" s="27">
        <f>'Приложение 2 -ТЭО'!Z47</f>
        <v>0</v>
      </c>
      <c r="K30" s="27"/>
      <c r="L30" s="27"/>
      <c r="M30" s="27">
        <f>'Приложение 2 -ТЭО'!AE47</f>
        <v>0</v>
      </c>
      <c r="N30" s="27"/>
      <c r="O30" s="27"/>
      <c r="P30" s="27">
        <f>'Приложение 2 -ТЭО'!AJ47</f>
        <v>0</v>
      </c>
    </row>
    <row r="31" spans="2:16" ht="35.25" customHeight="1" x14ac:dyDescent="0.25">
      <c r="B31" s="215"/>
      <c r="C31" s="40" t="s">
        <v>30</v>
      </c>
      <c r="D31" s="27">
        <f t="shared" ref="D31:D33" si="52">SUM(E31:P31)</f>
        <v>0</v>
      </c>
      <c r="E31" s="27">
        <f>'Приложение 2 -ТЭО'!L47</f>
        <v>0</v>
      </c>
      <c r="F31" s="27">
        <f>'Приложение 2 -ТЭО'!Q47</f>
        <v>0</v>
      </c>
      <c r="G31" s="27">
        <f>'Приложение 2 -ТЭО'!V47</f>
        <v>0</v>
      </c>
      <c r="H31" s="27"/>
      <c r="I31" s="27"/>
      <c r="J31" s="27">
        <f>'Приложение 2 -ТЭО'!AA47</f>
        <v>0</v>
      </c>
      <c r="K31" s="27"/>
      <c r="L31" s="27"/>
      <c r="M31" s="27">
        <f>'Приложение 2 -ТЭО'!AF47</f>
        <v>0</v>
      </c>
      <c r="N31" s="27"/>
      <c r="O31" s="27"/>
      <c r="P31" s="27">
        <f>'Приложение 2 -ТЭО'!AK47</f>
        <v>0</v>
      </c>
    </row>
    <row r="32" spans="2:16" ht="30" customHeight="1" x14ac:dyDescent="0.25">
      <c r="B32" s="215"/>
      <c r="C32" s="40" t="s">
        <v>31</v>
      </c>
      <c r="D32" s="27">
        <f t="shared" si="52"/>
        <v>16210.1</v>
      </c>
      <c r="E32" s="27">
        <f>'Приложение 2 -ТЭО'!M47</f>
        <v>2129.9</v>
      </c>
      <c r="F32" s="27">
        <f>'Приложение 2 -ТЭО'!R47</f>
        <v>2752.9</v>
      </c>
      <c r="G32" s="27">
        <f>'Приложение 2 -ТЭО'!W47</f>
        <v>3003.5</v>
      </c>
      <c r="H32" s="27"/>
      <c r="I32" s="27"/>
      <c r="J32" s="27">
        <f>'Приложение 2 -ТЭО'!AB47</f>
        <v>2774.6</v>
      </c>
      <c r="K32" s="27"/>
      <c r="L32" s="27"/>
      <c r="M32" s="27">
        <f>'Приложение 2 -ТЭО'!AG47</f>
        <v>2774.6</v>
      </c>
      <c r="N32" s="27"/>
      <c r="O32" s="27"/>
      <c r="P32" s="27">
        <f>'Приложение 2 -ТЭО'!AL47</f>
        <v>2774.6</v>
      </c>
    </row>
    <row r="33" spans="2:16" ht="33" customHeight="1" x14ac:dyDescent="0.25">
      <c r="B33" s="216"/>
      <c r="C33" s="40" t="s">
        <v>187</v>
      </c>
      <c r="D33" s="27">
        <f t="shared" si="52"/>
        <v>0</v>
      </c>
      <c r="E33" s="27">
        <f>'Приложение 2 -ТЭО'!N47</f>
        <v>0</v>
      </c>
      <c r="F33" s="27">
        <f>'Приложение 2 -ТЭО'!S47</f>
        <v>0</v>
      </c>
      <c r="G33" s="27">
        <f>'Приложение 2 -ТЭО'!X47</f>
        <v>0</v>
      </c>
      <c r="H33" s="27"/>
      <c r="I33" s="27"/>
      <c r="J33" s="27">
        <f>'Приложение 2 -ТЭО'!AC47</f>
        <v>0</v>
      </c>
      <c r="K33" s="27"/>
      <c r="L33" s="27"/>
      <c r="M33" s="27">
        <f>'Приложение 2 -ТЭО'!AH47</f>
        <v>0</v>
      </c>
      <c r="N33" s="27"/>
      <c r="O33" s="27"/>
      <c r="P33" s="27">
        <f>'Приложение 2 -ТЭО'!AM47</f>
        <v>0</v>
      </c>
    </row>
    <row r="34" spans="2:16" ht="15.75" customHeight="1" x14ac:dyDescent="0.25">
      <c r="B34" s="214" t="s">
        <v>19</v>
      </c>
      <c r="C34" s="42" t="s">
        <v>185</v>
      </c>
      <c r="D34" s="43">
        <f>SUM(D35:D38)</f>
        <v>11099.499999999998</v>
      </c>
      <c r="E34" s="43">
        <f>SUM(E35:E38)</f>
        <v>2183.7000000000003</v>
      </c>
      <c r="F34" s="43">
        <f t="shared" ref="F34" si="53">SUM(F35:F38)</f>
        <v>3258.3</v>
      </c>
      <c r="G34" s="43">
        <f t="shared" ref="G34" si="54">SUM(G35:G38)</f>
        <v>2512.6</v>
      </c>
      <c r="H34" s="43">
        <f t="shared" ref="H34" si="55">SUM(H35:H38)</f>
        <v>0</v>
      </c>
      <c r="I34" s="43">
        <f t="shared" ref="I34" si="56">SUM(I35:I38)</f>
        <v>0</v>
      </c>
      <c r="J34" s="43">
        <f t="shared" ref="J34" si="57">SUM(J35:J38)</f>
        <v>1048.3</v>
      </c>
      <c r="K34" s="43">
        <f t="shared" ref="K34" si="58">SUM(K35:K38)</f>
        <v>0</v>
      </c>
      <c r="L34" s="43">
        <f t="shared" ref="L34" si="59">SUM(L35:L38)</f>
        <v>0</v>
      </c>
      <c r="M34" s="43">
        <f t="shared" ref="M34" si="60">SUM(M35:M38)</f>
        <v>1048.3</v>
      </c>
      <c r="N34" s="43">
        <f t="shared" ref="N34" si="61">SUM(N35:N38)</f>
        <v>0</v>
      </c>
      <c r="O34" s="43">
        <f t="shared" ref="O34" si="62">SUM(O35:O38)</f>
        <v>0</v>
      </c>
      <c r="P34" s="43">
        <f t="shared" ref="P34" si="63">SUM(P35:P38)</f>
        <v>1048.3</v>
      </c>
    </row>
    <row r="35" spans="2:16" ht="35.25" customHeight="1" x14ac:dyDescent="0.25">
      <c r="B35" s="215"/>
      <c r="C35" s="41" t="s">
        <v>29</v>
      </c>
      <c r="D35" s="27">
        <f>SUM(E35:P35)</f>
        <v>0</v>
      </c>
      <c r="E35" s="27">
        <f>'Приложение 2 -ТЭО'!K52</f>
        <v>0</v>
      </c>
      <c r="F35" s="27">
        <f>'Приложение 2 -ТЭО'!P52</f>
        <v>0</v>
      </c>
      <c r="G35" s="27">
        <f>'Приложение 2 -ТЭО'!U52</f>
        <v>0</v>
      </c>
      <c r="H35" s="27"/>
      <c r="I35" s="27"/>
      <c r="J35" s="27">
        <f>'Приложение 2 -ТЭО'!Z52</f>
        <v>0</v>
      </c>
      <c r="K35" s="27"/>
      <c r="L35" s="27"/>
      <c r="M35" s="27">
        <f>'Приложение 2 -ТЭО'!AE52</f>
        <v>0</v>
      </c>
      <c r="N35" s="27"/>
      <c r="O35" s="27"/>
      <c r="P35" s="27">
        <f>'Приложение 2 -ТЭО'!AJ52</f>
        <v>0</v>
      </c>
    </row>
    <row r="36" spans="2:16" ht="35.25" customHeight="1" x14ac:dyDescent="0.25">
      <c r="B36" s="215"/>
      <c r="C36" s="40" t="s">
        <v>30</v>
      </c>
      <c r="D36" s="27">
        <f t="shared" ref="D36:D38" si="64">SUM(E36:P36)</f>
        <v>0</v>
      </c>
      <c r="E36" s="27">
        <f>'Приложение 2 -ТЭО'!L52</f>
        <v>0</v>
      </c>
      <c r="F36" s="27">
        <f>'Приложение 2 -ТЭО'!Q52</f>
        <v>0</v>
      </c>
      <c r="G36" s="27">
        <f>'Приложение 2 -ТЭО'!V52</f>
        <v>0</v>
      </c>
      <c r="H36" s="27"/>
      <c r="I36" s="27"/>
      <c r="J36" s="27">
        <f>'Приложение 2 -ТЭО'!AA52</f>
        <v>0</v>
      </c>
      <c r="K36" s="27"/>
      <c r="L36" s="27"/>
      <c r="M36" s="27">
        <f>'Приложение 2 -ТЭО'!AF52</f>
        <v>0</v>
      </c>
      <c r="N36" s="27"/>
      <c r="O36" s="27"/>
      <c r="P36" s="27">
        <f>'Приложение 2 -ТЭО'!AK52</f>
        <v>0</v>
      </c>
    </row>
    <row r="37" spans="2:16" ht="30" customHeight="1" x14ac:dyDescent="0.25">
      <c r="B37" s="215"/>
      <c r="C37" s="40" t="s">
        <v>31</v>
      </c>
      <c r="D37" s="27">
        <f t="shared" si="64"/>
        <v>11099.499999999998</v>
      </c>
      <c r="E37" s="27">
        <f>'Приложение 2 -ТЭО'!M52</f>
        <v>2183.7000000000003</v>
      </c>
      <c r="F37" s="27">
        <f>'Приложение 2 -ТЭО'!R52</f>
        <v>3258.3</v>
      </c>
      <c r="G37" s="27">
        <f>'Приложение 2 -ТЭО'!W52</f>
        <v>2512.6</v>
      </c>
      <c r="H37" s="27"/>
      <c r="I37" s="27"/>
      <c r="J37" s="27">
        <f>'Приложение 2 -ТЭО'!AB52</f>
        <v>1048.3</v>
      </c>
      <c r="K37" s="27"/>
      <c r="L37" s="27"/>
      <c r="M37" s="27">
        <f>'Приложение 2 -ТЭО'!AG52</f>
        <v>1048.3</v>
      </c>
      <c r="N37" s="27"/>
      <c r="O37" s="27"/>
      <c r="P37" s="27">
        <f>'Приложение 2 -ТЭО'!AL52</f>
        <v>1048.3</v>
      </c>
    </row>
    <row r="38" spans="2:16" ht="33" customHeight="1" x14ac:dyDescent="0.25">
      <c r="B38" s="216"/>
      <c r="C38" s="40" t="s">
        <v>187</v>
      </c>
      <c r="D38" s="27">
        <f t="shared" si="64"/>
        <v>0</v>
      </c>
      <c r="E38" s="27">
        <f>'Приложение 2 -ТЭО'!N52</f>
        <v>0</v>
      </c>
      <c r="F38" s="27">
        <f>'Приложение 2 -ТЭО'!S52</f>
        <v>0</v>
      </c>
      <c r="G38" s="27">
        <f>'Приложение 2 -ТЭО'!X52</f>
        <v>0</v>
      </c>
      <c r="H38" s="27"/>
      <c r="I38" s="27"/>
      <c r="J38" s="27">
        <f>'Приложение 2 -ТЭО'!AC52</f>
        <v>0</v>
      </c>
      <c r="K38" s="27"/>
      <c r="L38" s="27"/>
      <c r="M38" s="27">
        <f>'Приложение 2 -ТЭО'!AH52</f>
        <v>0</v>
      </c>
      <c r="N38" s="27"/>
      <c r="O38" s="27"/>
      <c r="P38" s="27">
        <f>'Приложение 2 -ТЭО'!AM52</f>
        <v>0</v>
      </c>
    </row>
    <row r="39" spans="2:16" ht="15.75" customHeight="1" x14ac:dyDescent="0.25">
      <c r="B39" s="214" t="s">
        <v>171</v>
      </c>
      <c r="C39" s="42" t="s">
        <v>185</v>
      </c>
      <c r="D39" s="43">
        <f>SUM(D40:D43)</f>
        <v>426449.70000000007</v>
      </c>
      <c r="E39" s="43">
        <f>SUM(E40:E43)</f>
        <v>63336.800000000003</v>
      </c>
      <c r="F39" s="43">
        <f t="shared" ref="F39" si="65">SUM(F40:F43)</f>
        <v>72895.7</v>
      </c>
      <c r="G39" s="43">
        <f t="shared" ref="G39" si="66">SUM(G40:G43)</f>
        <v>71940.5</v>
      </c>
      <c r="H39" s="43">
        <f t="shared" ref="H39" si="67">SUM(H40:H43)</f>
        <v>0</v>
      </c>
      <c r="I39" s="43">
        <f t="shared" ref="I39" si="68">SUM(I40:I43)</f>
        <v>0</v>
      </c>
      <c r="J39" s="43">
        <f t="shared" ref="J39" si="69">SUM(J40:J43)</f>
        <v>73102.899999999994</v>
      </c>
      <c r="K39" s="43">
        <f t="shared" ref="K39" si="70">SUM(K40:K43)</f>
        <v>0</v>
      </c>
      <c r="L39" s="43">
        <f t="shared" ref="L39" si="71">SUM(L40:L43)</f>
        <v>0</v>
      </c>
      <c r="M39" s="43">
        <f t="shared" ref="M39" si="72">SUM(M40:M43)</f>
        <v>72586.899999999994</v>
      </c>
      <c r="N39" s="43">
        <f t="shared" ref="N39" si="73">SUM(N40:N43)</f>
        <v>0</v>
      </c>
      <c r="O39" s="43">
        <f t="shared" ref="O39" si="74">SUM(O40:O43)</f>
        <v>0</v>
      </c>
      <c r="P39" s="43">
        <f t="shared" ref="P39" si="75">SUM(P40:P43)</f>
        <v>72586.899999999994</v>
      </c>
    </row>
    <row r="40" spans="2:16" ht="35.25" customHeight="1" x14ac:dyDescent="0.25">
      <c r="B40" s="215"/>
      <c r="C40" s="28" t="s">
        <v>29</v>
      </c>
      <c r="D40" s="27">
        <f>SUM(E40:P40)</f>
        <v>0</v>
      </c>
      <c r="E40" s="27">
        <f>'Приложение 2 -ТЭО'!K60</f>
        <v>0</v>
      </c>
      <c r="F40" s="27">
        <f>'Приложение 2 -ТЭО'!P60</f>
        <v>0</v>
      </c>
      <c r="G40" s="27">
        <f>'Приложение 2 -ТЭО'!U60</f>
        <v>0</v>
      </c>
      <c r="H40" s="27"/>
      <c r="I40" s="27"/>
      <c r="J40" s="27">
        <f>'Приложение 2 -ТЭО'!Z60</f>
        <v>0</v>
      </c>
      <c r="K40" s="27"/>
      <c r="L40" s="27"/>
      <c r="M40" s="27">
        <f>'Приложение 2 -ТЭО'!AE60</f>
        <v>0</v>
      </c>
      <c r="N40" s="27"/>
      <c r="O40" s="27"/>
      <c r="P40" s="27">
        <f>'Приложение 2 -ТЭО'!AJ60</f>
        <v>0</v>
      </c>
    </row>
    <row r="41" spans="2:16" ht="35.25" customHeight="1" x14ac:dyDescent="0.25">
      <c r="B41" s="215"/>
      <c r="C41" s="27" t="s">
        <v>30</v>
      </c>
      <c r="D41" s="27">
        <f t="shared" ref="D41:D43" si="76">SUM(E41:P41)</f>
        <v>0</v>
      </c>
      <c r="E41" s="27">
        <f>'Приложение 2 -ТЭО'!L60</f>
        <v>0</v>
      </c>
      <c r="F41" s="27">
        <f>'Приложение 2 -ТЭО'!Q60</f>
        <v>0</v>
      </c>
      <c r="G41" s="27">
        <f>'Приложение 2 -ТЭО'!V60</f>
        <v>0</v>
      </c>
      <c r="H41" s="27"/>
      <c r="I41" s="27"/>
      <c r="J41" s="27">
        <f>'Приложение 2 -ТЭО'!AA60</f>
        <v>0</v>
      </c>
      <c r="K41" s="27"/>
      <c r="L41" s="27"/>
      <c r="M41" s="27">
        <f>'Приложение 2 -ТЭО'!AF60</f>
        <v>0</v>
      </c>
      <c r="N41" s="27"/>
      <c r="O41" s="27"/>
      <c r="P41" s="27">
        <f>'Приложение 2 -ТЭО'!AK60</f>
        <v>0</v>
      </c>
    </row>
    <row r="42" spans="2:16" ht="30" customHeight="1" x14ac:dyDescent="0.25">
      <c r="B42" s="215"/>
      <c r="C42" s="27" t="s">
        <v>31</v>
      </c>
      <c r="D42" s="27">
        <f t="shared" si="76"/>
        <v>426449.70000000007</v>
      </c>
      <c r="E42" s="27">
        <f>'Приложение 2 -ТЭО'!M60</f>
        <v>63336.800000000003</v>
      </c>
      <c r="F42" s="27">
        <f>'Приложение 2 -ТЭО'!R60</f>
        <v>72895.7</v>
      </c>
      <c r="G42" s="27">
        <f>'Приложение 2 -ТЭО'!W60</f>
        <v>71940.5</v>
      </c>
      <c r="H42" s="27"/>
      <c r="I42" s="27"/>
      <c r="J42" s="27">
        <f>'Приложение 2 -ТЭО'!AB60</f>
        <v>73102.899999999994</v>
      </c>
      <c r="K42" s="27"/>
      <c r="L42" s="27"/>
      <c r="M42" s="27">
        <f>'Приложение 2 -ТЭО'!AG60</f>
        <v>72586.899999999994</v>
      </c>
      <c r="N42" s="27"/>
      <c r="O42" s="27"/>
      <c r="P42" s="27">
        <f>'Приложение 2 -ТЭО'!AL60</f>
        <v>72586.899999999994</v>
      </c>
    </row>
    <row r="43" spans="2:16" ht="33" customHeight="1" x14ac:dyDescent="0.25">
      <c r="B43" s="216"/>
      <c r="C43" s="27" t="s">
        <v>187</v>
      </c>
      <c r="D43" s="27">
        <f t="shared" si="76"/>
        <v>0</v>
      </c>
      <c r="E43" s="27">
        <f>'Приложение 2 -ТЭО'!N60</f>
        <v>0</v>
      </c>
      <c r="F43" s="27">
        <f>'Приложение 2 -ТЭО'!S60</f>
        <v>0</v>
      </c>
      <c r="G43" s="27">
        <f>'Приложение 2 -ТЭО'!X60</f>
        <v>0</v>
      </c>
      <c r="H43" s="27"/>
      <c r="I43" s="27"/>
      <c r="J43" s="27">
        <f>'Приложение 2 -ТЭО'!AC60</f>
        <v>0</v>
      </c>
      <c r="K43" s="27"/>
      <c r="L43" s="27"/>
      <c r="M43" s="27">
        <f>'Приложение 2 -ТЭО'!AH60</f>
        <v>0</v>
      </c>
      <c r="N43" s="27"/>
      <c r="O43" s="27"/>
      <c r="P43" s="27">
        <f>'Приложение 2 -ТЭО'!AM60</f>
        <v>0</v>
      </c>
    </row>
    <row r="48" spans="2:16" x14ac:dyDescent="0.25">
      <c r="C48" s="36"/>
      <c r="D48" s="36"/>
      <c r="E48" s="36"/>
      <c r="F48" s="36"/>
      <c r="G48" s="36"/>
      <c r="H48" s="36"/>
      <c r="I48" s="36"/>
      <c r="J48" s="36"/>
      <c r="K48" s="36"/>
      <c r="L48" s="36">
        <f>L45-L9</f>
        <v>0</v>
      </c>
      <c r="M48" s="36"/>
      <c r="N48" s="36"/>
      <c r="O48" s="36"/>
      <c r="P48" s="36"/>
    </row>
  </sheetData>
  <mergeCells count="14">
    <mergeCell ref="B34:B38"/>
    <mergeCell ref="B39:B43"/>
    <mergeCell ref="B3:P3"/>
    <mergeCell ref="B29:B33"/>
    <mergeCell ref="D6:D7"/>
    <mergeCell ref="D5:P5"/>
    <mergeCell ref="B5:B7"/>
    <mergeCell ref="C5:C7"/>
    <mergeCell ref="E6:P6"/>
    <mergeCell ref="J1:P1"/>
    <mergeCell ref="B9:B13"/>
    <mergeCell ref="B14:B18"/>
    <mergeCell ref="B19:B23"/>
    <mergeCell ref="B24:B28"/>
  </mergeCells>
  <pageMargins left="0.7" right="0.7" top="0.75" bottom="0.75" header="0.3" footer="0.3"/>
  <pageSetup paperSize="9" scale="5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outlinePr summaryBelow="0" summaryRight="0"/>
  </sheetPr>
  <dimension ref="A1:AA61"/>
  <sheetViews>
    <sheetView view="pageBreakPreview" zoomScale="80" zoomScaleNormal="70" zoomScaleSheetLayoutView="80" workbookViewId="0">
      <pane xSplit="3" ySplit="4" topLeftCell="D20" activePane="bottomRight" state="frozen"/>
      <selection pane="topRight" activeCell="N1" sqref="N1"/>
      <selection pane="bottomLeft" activeCell="A5" sqref="A5"/>
      <selection pane="bottomRight" activeCell="K28" sqref="K28"/>
    </sheetView>
  </sheetViews>
  <sheetFormatPr defaultColWidth="9.140625" defaultRowHeight="15" outlineLevelRow="3" x14ac:dyDescent="0.25"/>
  <cols>
    <col min="1" max="1" width="10.85546875" style="106" customWidth="1"/>
    <col min="2" max="2" width="18" style="106" customWidth="1"/>
    <col min="3" max="3" width="43.28515625" style="106" customWidth="1"/>
    <col min="4" max="4" width="28.140625" style="106" customWidth="1"/>
    <col min="5" max="5" width="38.28515625" style="106" customWidth="1"/>
    <col min="6" max="6" width="13.85546875" style="106" customWidth="1"/>
    <col min="7" max="11" width="11.7109375" style="106" customWidth="1"/>
    <col min="12" max="12" width="6.85546875" style="106" bestFit="1" customWidth="1"/>
    <col min="13" max="13" width="19.42578125" style="106" customWidth="1"/>
    <col min="14" max="15" width="14.5703125" style="106" customWidth="1"/>
    <col min="16" max="16" width="15" style="106" customWidth="1"/>
    <col min="17" max="18" width="6.85546875" style="106" bestFit="1" customWidth="1"/>
    <col min="19" max="19" width="10.28515625" style="106" bestFit="1" customWidth="1"/>
    <col min="20" max="20" width="6.85546875" style="106" bestFit="1" customWidth="1"/>
    <col min="21" max="21" width="10.28515625" style="106" bestFit="1" customWidth="1"/>
    <col min="22" max="23" width="6.85546875" style="106" bestFit="1" customWidth="1"/>
    <col min="24" max="24" width="10.28515625" style="106" bestFit="1" customWidth="1"/>
    <col min="25" max="25" width="6.85546875" style="106" bestFit="1" customWidth="1"/>
    <col min="26" max="26" width="10.28515625" style="106" bestFit="1" customWidth="1"/>
    <col min="27" max="28" width="6.85546875" style="106" bestFit="1" customWidth="1"/>
    <col min="29" max="29" width="10.28515625" style="106" bestFit="1" customWidth="1"/>
    <col min="30" max="30" width="3.85546875" style="106" bestFit="1" customWidth="1"/>
    <col min="31" max="32" width="9.28515625" style="106" customWidth="1"/>
    <col min="33" max="16384" width="9.140625" style="106"/>
  </cols>
  <sheetData>
    <row r="1" spans="1:24" s="95" customFormat="1" ht="69" customHeight="1" x14ac:dyDescent="0.25">
      <c r="B1" s="96"/>
      <c r="C1" s="97"/>
      <c r="D1" s="97"/>
      <c r="E1" s="98"/>
      <c r="F1" s="99"/>
      <c r="G1" s="99"/>
      <c r="H1" s="99"/>
      <c r="I1" s="99"/>
      <c r="J1" s="100"/>
      <c r="K1" s="101"/>
      <c r="O1" s="225" t="s">
        <v>157</v>
      </c>
      <c r="P1" s="225"/>
      <c r="Q1" s="225"/>
      <c r="R1" s="225"/>
      <c r="S1" s="225"/>
      <c r="T1" s="225"/>
    </row>
    <row r="4" spans="1:24" ht="72.75" customHeight="1" x14ac:dyDescent="0.25">
      <c r="A4" s="102" t="s">
        <v>2</v>
      </c>
      <c r="B4" s="103" t="s">
        <v>189</v>
      </c>
      <c r="C4" s="102" t="s">
        <v>4</v>
      </c>
      <c r="D4" s="103" t="s">
        <v>190</v>
      </c>
      <c r="E4" s="103" t="s">
        <v>191</v>
      </c>
      <c r="F4" s="104" t="s">
        <v>192</v>
      </c>
      <c r="G4" s="104" t="s">
        <v>193</v>
      </c>
      <c r="H4" s="104" t="s">
        <v>194</v>
      </c>
      <c r="I4" s="104" t="s">
        <v>195</v>
      </c>
      <c r="J4" s="104"/>
      <c r="K4" s="104" t="s">
        <v>196</v>
      </c>
      <c r="L4" s="105"/>
      <c r="M4" s="105">
        <v>2019</v>
      </c>
      <c r="N4" s="105" t="s">
        <v>197</v>
      </c>
      <c r="O4" s="105" t="s">
        <v>195</v>
      </c>
      <c r="P4" s="105"/>
      <c r="Q4" s="105"/>
      <c r="R4" s="105"/>
      <c r="S4" s="105"/>
      <c r="T4" s="105"/>
    </row>
    <row r="5" spans="1:24" s="109" customFormat="1" ht="47.25" customHeight="1" outlineLevel="1" x14ac:dyDescent="0.25">
      <c r="A5" s="107">
        <v>1</v>
      </c>
      <c r="B5" s="104"/>
      <c r="C5" s="108" t="s">
        <v>5</v>
      </c>
      <c r="D5" s="104"/>
      <c r="E5" s="104"/>
      <c r="F5" s="104"/>
      <c r="G5" s="104"/>
      <c r="H5" s="104"/>
      <c r="I5" s="104"/>
      <c r="J5" s="104"/>
      <c r="K5" s="104"/>
      <c r="L5" s="104"/>
      <c r="M5" s="104"/>
      <c r="N5" s="104"/>
      <c r="O5" s="104"/>
      <c r="P5" s="104"/>
      <c r="Q5" s="104"/>
      <c r="R5" s="104"/>
      <c r="S5" s="104"/>
      <c r="T5" s="104"/>
    </row>
    <row r="6" spans="1:24" s="109" customFormat="1" ht="47.25" customHeight="1" outlineLevel="2" x14ac:dyDescent="0.25">
      <c r="A6" s="107" t="s">
        <v>21</v>
      </c>
      <c r="B6" s="226" t="s">
        <v>198</v>
      </c>
      <c r="C6" s="110" t="s">
        <v>15</v>
      </c>
      <c r="D6" s="104"/>
      <c r="E6" s="104"/>
      <c r="F6" s="104"/>
      <c r="G6" s="104"/>
      <c r="H6" s="104"/>
      <c r="I6" s="104"/>
      <c r="J6" s="104"/>
      <c r="K6" s="104"/>
      <c r="L6" s="104"/>
      <c r="M6" s="111">
        <f>SUM(M7:M9)</f>
        <v>86079.1</v>
      </c>
      <c r="N6" s="112">
        <f>SUM(N7:N9)</f>
        <v>88508.1</v>
      </c>
      <c r="O6" s="112"/>
      <c r="P6" s="112">
        <f>SUM(P7:P9)</f>
        <v>88662.9</v>
      </c>
      <c r="Q6" s="104"/>
      <c r="R6" s="104"/>
      <c r="S6" s="104"/>
      <c r="T6" s="104"/>
    </row>
    <row r="7" spans="1:24" ht="47.25" customHeight="1" outlineLevel="3" x14ac:dyDescent="0.25">
      <c r="A7" s="113" t="s">
        <v>38</v>
      </c>
      <c r="B7" s="226"/>
      <c r="C7" s="114" t="s">
        <v>66</v>
      </c>
      <c r="D7" s="226" t="s">
        <v>199</v>
      </c>
      <c r="E7" s="115" t="s">
        <v>200</v>
      </c>
      <c r="F7" s="105" t="s">
        <v>201</v>
      </c>
      <c r="G7" s="116">
        <v>100</v>
      </c>
      <c r="H7" s="116">
        <v>100</v>
      </c>
      <c r="I7" s="116">
        <v>100</v>
      </c>
      <c r="J7" s="116"/>
      <c r="K7" s="116">
        <v>100</v>
      </c>
      <c r="L7" s="105"/>
      <c r="M7" s="117">
        <f>51852.4+1679.4</f>
        <v>53531.8</v>
      </c>
      <c r="N7" s="118">
        <f>53380.2+1739.2</f>
        <v>55119.399999999994</v>
      </c>
      <c r="O7" s="118"/>
      <c r="P7" s="119">
        <f>53368.7+1733.7</f>
        <v>55102.399999999994</v>
      </c>
      <c r="Q7" s="105"/>
      <c r="R7" s="105"/>
      <c r="S7" s="105"/>
      <c r="T7" s="105"/>
    </row>
    <row r="8" spans="1:24" ht="45" outlineLevel="3" x14ac:dyDescent="0.25">
      <c r="A8" s="113" t="s">
        <v>39</v>
      </c>
      <c r="B8" s="226"/>
      <c r="C8" s="114" t="s">
        <v>10</v>
      </c>
      <c r="D8" s="226"/>
      <c r="E8" s="115" t="s">
        <v>202</v>
      </c>
      <c r="F8" s="105" t="s">
        <v>201</v>
      </c>
      <c r="G8" s="116">
        <v>100</v>
      </c>
      <c r="H8" s="116">
        <v>100</v>
      </c>
      <c r="I8" s="116">
        <v>100</v>
      </c>
      <c r="J8" s="116"/>
      <c r="K8" s="116">
        <v>100</v>
      </c>
      <c r="L8" s="105"/>
      <c r="M8" s="117">
        <f>9998.9+64</f>
        <v>10062.9</v>
      </c>
      <c r="N8" s="118">
        <f>10462.3+64</f>
        <v>10526.3</v>
      </c>
      <c r="O8" s="118"/>
      <c r="P8" s="119">
        <f>10344.9+64</f>
        <v>10408.9</v>
      </c>
      <c r="Q8" s="105"/>
      <c r="R8" s="105"/>
      <c r="S8" s="105"/>
      <c r="T8" s="105"/>
    </row>
    <row r="9" spans="1:24" ht="45" outlineLevel="3" x14ac:dyDescent="0.25">
      <c r="A9" s="113" t="s">
        <v>40</v>
      </c>
      <c r="B9" s="226"/>
      <c r="C9" s="114" t="s">
        <v>68</v>
      </c>
      <c r="D9" s="226"/>
      <c r="E9" s="115" t="s">
        <v>203</v>
      </c>
      <c r="F9" s="105" t="s">
        <v>201</v>
      </c>
      <c r="G9" s="116">
        <v>100</v>
      </c>
      <c r="H9" s="116">
        <v>100</v>
      </c>
      <c r="I9" s="116">
        <v>100</v>
      </c>
      <c r="J9" s="116"/>
      <c r="K9" s="116">
        <v>100</v>
      </c>
      <c r="L9" s="105"/>
      <c r="M9" s="117">
        <f>22345.7+138.7</f>
        <v>22484.400000000001</v>
      </c>
      <c r="N9" s="118">
        <f>22723.7+138.7</f>
        <v>22862.400000000001</v>
      </c>
      <c r="O9" s="118"/>
      <c r="P9" s="119">
        <f>23012.9+138.7</f>
        <v>23151.600000000002</v>
      </c>
      <c r="Q9" s="105"/>
      <c r="R9" s="105"/>
      <c r="S9" s="105"/>
      <c r="T9" s="105"/>
    </row>
    <row r="10" spans="1:24" s="109" customFormat="1" ht="47.25" customHeight="1" outlineLevel="2" x14ac:dyDescent="0.25">
      <c r="A10" s="107" t="s">
        <v>22</v>
      </c>
      <c r="B10" s="226"/>
      <c r="C10" s="110" t="s">
        <v>16</v>
      </c>
      <c r="D10" s="104"/>
      <c r="E10" s="115"/>
      <c r="F10" s="104"/>
      <c r="G10" s="104"/>
      <c r="H10" s="104"/>
      <c r="I10" s="104"/>
      <c r="J10" s="104"/>
      <c r="K10" s="104"/>
      <c r="L10" s="104"/>
      <c r="M10" s="104">
        <f>SUM(M11:M14)</f>
        <v>45</v>
      </c>
      <c r="N10" s="104"/>
      <c r="O10" s="104"/>
      <c r="P10" s="104"/>
      <c r="Q10" s="104"/>
      <c r="R10" s="104"/>
      <c r="S10" s="104"/>
      <c r="T10" s="104"/>
    </row>
    <row r="11" spans="1:24" ht="47.25" customHeight="1" outlineLevel="3" x14ac:dyDescent="0.25">
      <c r="A11" s="113" t="s">
        <v>41</v>
      </c>
      <c r="B11" s="226"/>
      <c r="C11" s="114" t="s">
        <v>66</v>
      </c>
      <c r="D11" s="226" t="s">
        <v>204</v>
      </c>
      <c r="E11" s="226" t="s">
        <v>205</v>
      </c>
      <c r="F11" s="227" t="s">
        <v>201</v>
      </c>
      <c r="G11" s="227">
        <f>(M11+M12+M13+M14)/M10*100</f>
        <v>100</v>
      </c>
      <c r="H11" s="228">
        <v>100</v>
      </c>
      <c r="I11" s="228">
        <v>100</v>
      </c>
      <c r="J11" s="120"/>
      <c r="K11" s="228">
        <v>100</v>
      </c>
      <c r="L11" s="105"/>
      <c r="M11" s="105">
        <v>18</v>
      </c>
      <c r="N11" s="105"/>
      <c r="O11" s="105"/>
      <c r="P11" s="105"/>
      <c r="Q11" s="105"/>
      <c r="R11" s="105"/>
      <c r="S11" s="105"/>
      <c r="T11" s="105"/>
    </row>
    <row r="12" spans="1:24" ht="47.25" customHeight="1" outlineLevel="3" x14ac:dyDescent="0.25">
      <c r="A12" s="113" t="s">
        <v>42</v>
      </c>
      <c r="B12" s="226"/>
      <c r="C12" s="114" t="s">
        <v>10</v>
      </c>
      <c r="D12" s="226"/>
      <c r="E12" s="226"/>
      <c r="F12" s="227"/>
      <c r="G12" s="227"/>
      <c r="H12" s="229"/>
      <c r="I12" s="229"/>
      <c r="J12" s="121"/>
      <c r="K12" s="229"/>
      <c r="L12" s="105"/>
      <c r="M12" s="105">
        <v>5</v>
      </c>
      <c r="N12" s="105"/>
      <c r="O12" s="105"/>
      <c r="P12" s="105"/>
      <c r="Q12" s="105"/>
      <c r="R12" s="105"/>
      <c r="S12" s="105"/>
      <c r="T12" s="105"/>
    </row>
    <row r="13" spans="1:24" ht="47.25" customHeight="1" outlineLevel="3" x14ac:dyDescent="0.25">
      <c r="A13" s="113" t="s">
        <v>43</v>
      </c>
      <c r="B13" s="226"/>
      <c r="C13" s="114" t="s">
        <v>68</v>
      </c>
      <c r="D13" s="226"/>
      <c r="E13" s="226"/>
      <c r="F13" s="227"/>
      <c r="G13" s="227"/>
      <c r="H13" s="229"/>
      <c r="I13" s="229"/>
      <c r="J13" s="121"/>
      <c r="K13" s="229"/>
      <c r="L13" s="105"/>
      <c r="M13" s="105">
        <v>9</v>
      </c>
      <c r="N13" s="105"/>
      <c r="O13" s="105"/>
      <c r="P13" s="105"/>
      <c r="Q13" s="105"/>
      <c r="R13" s="105"/>
      <c r="S13" s="105"/>
      <c r="T13" s="105"/>
    </row>
    <row r="14" spans="1:24" ht="47.25" customHeight="1" outlineLevel="3" x14ac:dyDescent="0.25">
      <c r="A14" s="113" t="s">
        <v>44</v>
      </c>
      <c r="B14" s="226"/>
      <c r="C14" s="114" t="s">
        <v>67</v>
      </c>
      <c r="D14" s="226"/>
      <c r="E14" s="226"/>
      <c r="F14" s="227"/>
      <c r="G14" s="227"/>
      <c r="H14" s="230"/>
      <c r="I14" s="230"/>
      <c r="J14" s="122"/>
      <c r="K14" s="230"/>
      <c r="L14" s="105"/>
      <c r="M14" s="105">
        <v>13</v>
      </c>
      <c r="N14" s="105"/>
      <c r="O14" s="105"/>
      <c r="P14" s="105"/>
      <c r="Q14" s="105"/>
      <c r="R14" s="105"/>
      <c r="S14" s="105"/>
      <c r="T14" s="105"/>
    </row>
    <row r="15" spans="1:24" s="109" customFormat="1" ht="141" customHeight="1" outlineLevel="2" x14ac:dyDescent="0.25">
      <c r="A15" s="107" t="s">
        <v>23</v>
      </c>
      <c r="B15" s="226"/>
      <c r="C15" s="110" t="s">
        <v>206</v>
      </c>
      <c r="D15" s="104"/>
      <c r="E15" s="104"/>
      <c r="F15" s="104"/>
      <c r="G15" s="104"/>
      <c r="H15" s="104"/>
      <c r="I15" s="104"/>
      <c r="J15" s="104"/>
      <c r="K15" s="104"/>
      <c r="L15" s="104"/>
      <c r="M15" s="104">
        <f>SUM(M16:M19)</f>
        <v>15</v>
      </c>
      <c r="N15" s="104">
        <f>SUM(N16:N19)</f>
        <v>17</v>
      </c>
      <c r="O15" s="104">
        <f>SUM(O16:O19)</f>
        <v>15</v>
      </c>
      <c r="P15" s="104">
        <f>SUM(P16:P19)</f>
        <v>17</v>
      </c>
      <c r="Q15" s="104"/>
      <c r="R15" s="104"/>
      <c r="S15" s="104"/>
      <c r="T15" s="104"/>
    </row>
    <row r="16" spans="1:24" ht="22.5" customHeight="1" outlineLevel="3" x14ac:dyDescent="0.25">
      <c r="A16" s="113" t="s">
        <v>45</v>
      </c>
      <c r="B16" s="226"/>
      <c r="C16" s="114" t="s">
        <v>66</v>
      </c>
      <c r="D16" s="231" t="s">
        <v>207</v>
      </c>
      <c r="E16" s="226" t="s">
        <v>208</v>
      </c>
      <c r="F16" s="226"/>
      <c r="G16" s="234">
        <f>M15/50*100</f>
        <v>30</v>
      </c>
      <c r="H16" s="234">
        <f>N15/43*100</f>
        <v>39.534883720930232</v>
      </c>
      <c r="I16" s="234">
        <f>O15/43*100</f>
        <v>34.883720930232556</v>
      </c>
      <c r="J16" s="123"/>
      <c r="K16" s="234">
        <f>P15/43*100</f>
        <v>39.534883720930232</v>
      </c>
      <c r="M16" s="105">
        <v>9</v>
      </c>
      <c r="N16" s="105">
        <v>6</v>
      </c>
      <c r="O16" s="105">
        <v>9</v>
      </c>
      <c r="P16" s="105">
        <v>7</v>
      </c>
      <c r="Q16" s="105"/>
      <c r="R16" s="105"/>
      <c r="S16" s="105"/>
      <c r="T16" s="105"/>
      <c r="U16" s="226" t="s">
        <v>209</v>
      </c>
      <c r="V16" s="226"/>
      <c r="W16" s="226"/>
      <c r="X16" s="226"/>
    </row>
    <row r="17" spans="1:25" ht="27" customHeight="1" outlineLevel="3" x14ac:dyDescent="0.25">
      <c r="A17" s="113" t="s">
        <v>46</v>
      </c>
      <c r="B17" s="226"/>
      <c r="C17" s="114" t="s">
        <v>10</v>
      </c>
      <c r="D17" s="232"/>
      <c r="E17" s="226"/>
      <c r="F17" s="227"/>
      <c r="G17" s="235"/>
      <c r="H17" s="235"/>
      <c r="I17" s="235"/>
      <c r="J17" s="124"/>
      <c r="K17" s="235"/>
      <c r="M17" s="105">
        <v>1</v>
      </c>
      <c r="N17" s="105">
        <v>3</v>
      </c>
      <c r="O17" s="105">
        <v>1</v>
      </c>
      <c r="P17" s="105">
        <v>3</v>
      </c>
      <c r="Q17" s="105"/>
      <c r="R17" s="105"/>
      <c r="S17" s="105"/>
      <c r="T17" s="105"/>
      <c r="U17" s="226"/>
      <c r="V17" s="226"/>
      <c r="W17" s="226"/>
      <c r="X17" s="226"/>
    </row>
    <row r="18" spans="1:25" ht="40.5" customHeight="1" outlineLevel="3" x14ac:dyDescent="0.25">
      <c r="A18" s="113" t="s">
        <v>47</v>
      </c>
      <c r="B18" s="226"/>
      <c r="C18" s="114" t="s">
        <v>68</v>
      </c>
      <c r="D18" s="232"/>
      <c r="E18" s="226"/>
      <c r="F18" s="227"/>
      <c r="G18" s="235"/>
      <c r="H18" s="235"/>
      <c r="I18" s="235"/>
      <c r="J18" s="124"/>
      <c r="K18" s="235"/>
      <c r="M18" s="105">
        <v>3</v>
      </c>
      <c r="N18" s="105">
        <v>0</v>
      </c>
      <c r="O18" s="105">
        <v>2</v>
      </c>
      <c r="P18" s="105">
        <v>0</v>
      </c>
      <c r="Q18" s="105"/>
      <c r="R18" s="105"/>
      <c r="S18" s="105"/>
      <c r="T18" s="105"/>
      <c r="U18" s="226"/>
      <c r="V18" s="226"/>
      <c r="W18" s="226"/>
      <c r="X18" s="226"/>
    </row>
    <row r="19" spans="1:25" ht="27.75" customHeight="1" outlineLevel="3" x14ac:dyDescent="0.25">
      <c r="A19" s="113" t="s">
        <v>48</v>
      </c>
      <c r="B19" s="226"/>
      <c r="C19" s="125" t="s">
        <v>67</v>
      </c>
      <c r="D19" s="232"/>
      <c r="E19" s="226"/>
      <c r="F19" s="227"/>
      <c r="G19" s="236"/>
      <c r="H19" s="236"/>
      <c r="I19" s="236"/>
      <c r="J19" s="126"/>
      <c r="K19" s="236"/>
      <c r="M19" s="105">
        <v>2</v>
      </c>
      <c r="N19" s="105">
        <v>8</v>
      </c>
      <c r="O19" s="105">
        <v>3</v>
      </c>
      <c r="P19" s="105">
        <v>7</v>
      </c>
      <c r="Q19" s="105"/>
      <c r="R19" s="105"/>
      <c r="S19" s="105"/>
      <c r="T19" s="105"/>
      <c r="U19" s="226"/>
      <c r="V19" s="226"/>
      <c r="W19" s="226"/>
      <c r="X19" s="226"/>
    </row>
    <row r="20" spans="1:25" ht="147.75" customHeight="1" outlineLevel="3" x14ac:dyDescent="0.25">
      <c r="A20" s="113"/>
      <c r="B20" s="226"/>
      <c r="C20" s="127"/>
      <c r="D20" s="233"/>
      <c r="E20" s="128" t="s">
        <v>210</v>
      </c>
      <c r="F20" s="113"/>
      <c r="G20" s="116">
        <f>M20/18*100</f>
        <v>5.5555555555555554</v>
      </c>
      <c r="H20" s="116">
        <f>N20/18*100</f>
        <v>5.5555555555555554</v>
      </c>
      <c r="I20" s="116"/>
      <c r="J20" s="116"/>
      <c r="K20" s="116">
        <f>P20/18*100</f>
        <v>27.777777777777779</v>
      </c>
      <c r="M20" s="105">
        <v>1</v>
      </c>
      <c r="N20" s="105">
        <v>1</v>
      </c>
      <c r="O20" s="105"/>
      <c r="P20" s="105">
        <f>4+1</f>
        <v>5</v>
      </c>
      <c r="Q20" s="105"/>
      <c r="R20" s="105"/>
      <c r="S20" s="105"/>
      <c r="T20" s="105"/>
      <c r="U20" s="237" t="s">
        <v>211</v>
      </c>
      <c r="V20" s="238"/>
      <c r="W20" s="238"/>
      <c r="X20" s="238"/>
    </row>
    <row r="21" spans="1:25" ht="22.5" customHeight="1" outlineLevel="3" x14ac:dyDescent="0.25">
      <c r="A21" s="113" t="s">
        <v>45</v>
      </c>
      <c r="B21" s="226"/>
      <c r="C21" s="114" t="s">
        <v>66</v>
      </c>
      <c r="D21" s="129"/>
      <c r="E21" s="226" t="s">
        <v>208</v>
      </c>
      <c r="F21" s="226"/>
      <c r="G21" s="234">
        <f>M20/50*100</f>
        <v>2</v>
      </c>
      <c r="H21" s="234">
        <f>N20/43*100</f>
        <v>2.3255813953488373</v>
      </c>
      <c r="I21" s="123"/>
      <c r="J21" s="123"/>
      <c r="K21" s="234">
        <f>P20/43*100</f>
        <v>11.627906976744185</v>
      </c>
      <c r="M21" s="105">
        <v>9</v>
      </c>
      <c r="N21" s="105">
        <v>6</v>
      </c>
      <c r="O21" s="105"/>
      <c r="P21" s="105">
        <v>6</v>
      </c>
      <c r="Q21" s="105"/>
      <c r="R21" s="105"/>
      <c r="S21" s="105"/>
      <c r="T21" s="105"/>
      <c r="U21" s="226" t="s">
        <v>209</v>
      </c>
      <c r="V21" s="226"/>
      <c r="W21" s="226"/>
      <c r="X21" s="226"/>
    </row>
    <row r="22" spans="1:25" ht="27" customHeight="1" outlineLevel="3" x14ac:dyDescent="0.25">
      <c r="A22" s="113" t="s">
        <v>46</v>
      </c>
      <c r="B22" s="226"/>
      <c r="C22" s="114" t="s">
        <v>10</v>
      </c>
      <c r="D22" s="129"/>
      <c r="E22" s="226"/>
      <c r="F22" s="227"/>
      <c r="G22" s="235"/>
      <c r="H22" s="235"/>
      <c r="I22" s="124"/>
      <c r="J22" s="124"/>
      <c r="K22" s="235"/>
      <c r="M22" s="105">
        <v>1</v>
      </c>
      <c r="N22" s="105">
        <v>3</v>
      </c>
      <c r="O22" s="105"/>
      <c r="P22" s="105">
        <v>2</v>
      </c>
      <c r="Q22" s="105"/>
      <c r="R22" s="105"/>
      <c r="S22" s="105"/>
      <c r="T22" s="105"/>
      <c r="U22" s="226"/>
      <c r="V22" s="226"/>
      <c r="W22" s="226"/>
      <c r="X22" s="226"/>
    </row>
    <row r="23" spans="1:25" ht="40.5" customHeight="1" outlineLevel="3" x14ac:dyDescent="0.25">
      <c r="A23" s="113" t="s">
        <v>47</v>
      </c>
      <c r="B23" s="226"/>
      <c r="C23" s="114" t="s">
        <v>68</v>
      </c>
      <c r="D23" s="129"/>
      <c r="E23" s="226"/>
      <c r="F23" s="227"/>
      <c r="G23" s="235"/>
      <c r="H23" s="235"/>
      <c r="I23" s="124"/>
      <c r="J23" s="124"/>
      <c r="K23" s="235"/>
      <c r="M23" s="105">
        <v>0</v>
      </c>
      <c r="N23" s="105">
        <v>0</v>
      </c>
      <c r="O23" s="105"/>
      <c r="P23" s="105">
        <v>0</v>
      </c>
      <c r="Q23" s="105"/>
      <c r="R23" s="105"/>
      <c r="S23" s="105"/>
      <c r="T23" s="105"/>
      <c r="U23" s="226"/>
      <c r="V23" s="226"/>
      <c r="W23" s="226"/>
      <c r="X23" s="226"/>
    </row>
    <row r="24" spans="1:25" ht="27.75" customHeight="1" outlineLevel="3" x14ac:dyDescent="0.25">
      <c r="A24" s="113" t="s">
        <v>48</v>
      </c>
      <c r="B24" s="226"/>
      <c r="C24" s="125" t="s">
        <v>67</v>
      </c>
      <c r="D24" s="129"/>
      <c r="E24" s="226"/>
      <c r="F24" s="227"/>
      <c r="G24" s="236"/>
      <c r="H24" s="236"/>
      <c r="I24" s="126"/>
      <c r="J24" s="126"/>
      <c r="K24" s="236"/>
      <c r="M24" s="105">
        <v>2</v>
      </c>
      <c r="N24" s="105">
        <v>8</v>
      </c>
      <c r="O24" s="105"/>
      <c r="P24" s="105">
        <v>2</v>
      </c>
      <c r="Q24" s="105"/>
      <c r="R24" s="105"/>
      <c r="S24" s="105"/>
      <c r="T24" s="105"/>
      <c r="U24" s="226"/>
      <c r="V24" s="226"/>
      <c r="W24" s="226"/>
      <c r="X24" s="226"/>
    </row>
    <row r="25" spans="1:25" s="130" customFormat="1" ht="47.25" customHeight="1" outlineLevel="2" x14ac:dyDescent="0.25">
      <c r="A25" s="107" t="s">
        <v>59</v>
      </c>
      <c r="B25" s="226"/>
      <c r="C25" s="110" t="s">
        <v>212</v>
      </c>
      <c r="D25" s="103"/>
      <c r="E25" s="103"/>
      <c r="F25" s="103"/>
      <c r="G25" s="103"/>
      <c r="H25" s="103"/>
      <c r="I25" s="103"/>
      <c r="J25" s="103"/>
      <c r="K25" s="103"/>
      <c r="L25" s="103"/>
      <c r="M25" s="103"/>
      <c r="N25" s="103"/>
      <c r="O25" s="103"/>
      <c r="P25" s="103"/>
      <c r="Q25" s="103"/>
      <c r="R25" s="103"/>
      <c r="S25" s="103"/>
      <c r="T25" s="103"/>
    </row>
    <row r="26" spans="1:25" ht="78.75" customHeight="1" outlineLevel="3" x14ac:dyDescent="0.25">
      <c r="A26" s="113" t="s">
        <v>61</v>
      </c>
      <c r="B26" s="226"/>
      <c r="C26" s="131" t="s">
        <v>65</v>
      </c>
      <c r="D26" s="226" t="s">
        <v>213</v>
      </c>
      <c r="E26" s="245" t="s">
        <v>214</v>
      </c>
      <c r="F26" s="227" t="s">
        <v>201</v>
      </c>
      <c r="G26" s="227">
        <v>100</v>
      </c>
      <c r="H26" s="228">
        <v>100</v>
      </c>
      <c r="I26" s="120"/>
      <c r="J26" s="120"/>
      <c r="K26" s="228">
        <v>100</v>
      </c>
      <c r="L26" s="227"/>
      <c r="M26" s="227">
        <v>100</v>
      </c>
      <c r="N26" s="105"/>
      <c r="O26" s="105"/>
      <c r="P26" s="105"/>
      <c r="Q26" s="105"/>
      <c r="R26" s="105"/>
      <c r="S26" s="105"/>
      <c r="T26" s="105"/>
    </row>
    <row r="27" spans="1:25" ht="45" outlineLevel="3" x14ac:dyDescent="0.25">
      <c r="A27" s="113" t="s">
        <v>62</v>
      </c>
      <c r="B27" s="226"/>
      <c r="C27" s="114" t="s">
        <v>60</v>
      </c>
      <c r="D27" s="226"/>
      <c r="E27" s="245"/>
      <c r="F27" s="227"/>
      <c r="G27" s="227"/>
      <c r="H27" s="230"/>
      <c r="I27" s="122"/>
      <c r="J27" s="122"/>
      <c r="K27" s="230"/>
      <c r="L27" s="227"/>
      <c r="M27" s="227"/>
      <c r="N27" s="105"/>
      <c r="O27" s="105"/>
      <c r="P27" s="105"/>
      <c r="Q27" s="105"/>
      <c r="R27" s="105"/>
      <c r="S27" s="105"/>
      <c r="T27" s="105"/>
    </row>
    <row r="28" spans="1:25" ht="75" outlineLevel="3" x14ac:dyDescent="0.25">
      <c r="A28" s="113" t="s">
        <v>63</v>
      </c>
      <c r="B28" s="226"/>
      <c r="C28" s="114" t="s">
        <v>64</v>
      </c>
      <c r="D28" s="115" t="s">
        <v>215</v>
      </c>
      <c r="E28" s="115" t="s">
        <v>216</v>
      </c>
      <c r="F28" s="105" t="s">
        <v>217</v>
      </c>
      <c r="G28" s="105">
        <v>11</v>
      </c>
      <c r="H28" s="105">
        <v>12</v>
      </c>
      <c r="I28" s="105"/>
      <c r="J28" s="105"/>
      <c r="K28" s="105">
        <v>13</v>
      </c>
      <c r="L28" s="105"/>
      <c r="M28" s="105"/>
      <c r="N28" s="105"/>
      <c r="O28" s="105"/>
      <c r="P28" s="105"/>
      <c r="Q28" s="105"/>
      <c r="R28" s="105"/>
      <c r="S28" s="105"/>
      <c r="T28" s="105"/>
      <c r="U28" s="241" t="s">
        <v>218</v>
      </c>
      <c r="V28" s="242"/>
      <c r="W28" s="242"/>
      <c r="X28" s="242"/>
    </row>
    <row r="29" spans="1:25" s="109" customFormat="1" ht="47.25" customHeight="1" outlineLevel="1" x14ac:dyDescent="0.25">
      <c r="A29" s="132">
        <v>2</v>
      </c>
      <c r="B29" s="231" t="s">
        <v>219</v>
      </c>
      <c r="C29" s="133" t="s">
        <v>37</v>
      </c>
      <c r="D29" s="231" t="s">
        <v>220</v>
      </c>
      <c r="E29" s="128"/>
      <c r="F29" s="104"/>
      <c r="G29" s="104"/>
      <c r="H29" s="104"/>
      <c r="I29" s="104"/>
      <c r="J29" s="104"/>
      <c r="K29" s="104"/>
      <c r="L29" s="104"/>
      <c r="M29" s="104"/>
      <c r="N29" s="104"/>
      <c r="O29" s="104"/>
      <c r="P29" s="104"/>
      <c r="Q29" s="104"/>
      <c r="R29" s="104"/>
      <c r="S29" s="104"/>
      <c r="T29" s="104"/>
    </row>
    <row r="30" spans="1:25" s="134" customFormat="1" ht="30.75" thickBot="1" x14ac:dyDescent="0.3">
      <c r="B30" s="232"/>
      <c r="C30" s="135" t="s">
        <v>298</v>
      </c>
      <c r="D30" s="232"/>
      <c r="E30" s="136">
        <v>0</v>
      </c>
      <c r="F30" s="136">
        <v>3</v>
      </c>
      <c r="G30" s="136">
        <v>0</v>
      </c>
      <c r="H30" s="136">
        <v>3</v>
      </c>
      <c r="I30" s="136">
        <v>0</v>
      </c>
      <c r="J30" s="136">
        <v>0</v>
      </c>
      <c r="K30" s="137">
        <v>0</v>
      </c>
      <c r="L30" s="138"/>
      <c r="M30" s="138"/>
      <c r="N30" s="138"/>
      <c r="O30" s="138"/>
      <c r="P30" s="138"/>
      <c r="Q30" s="138"/>
      <c r="R30" s="138"/>
      <c r="S30" s="138"/>
      <c r="T30" s="138"/>
    </row>
    <row r="31" spans="1:25" s="134" customFormat="1" ht="15.75" thickBot="1" x14ac:dyDescent="0.3">
      <c r="B31" s="232"/>
      <c r="C31" s="135" t="s">
        <v>300</v>
      </c>
      <c r="D31" s="232"/>
      <c r="E31" s="136">
        <v>0</v>
      </c>
      <c r="F31" s="136">
        <v>4</v>
      </c>
      <c r="G31" s="136">
        <v>0</v>
      </c>
      <c r="H31" s="136">
        <v>4</v>
      </c>
      <c r="I31" s="136">
        <v>0</v>
      </c>
      <c r="J31" s="136">
        <v>0</v>
      </c>
      <c r="K31" s="137">
        <v>4</v>
      </c>
      <c r="L31" s="138"/>
      <c r="M31" s="138"/>
      <c r="N31" s="138"/>
      <c r="O31" s="138"/>
      <c r="P31" s="138"/>
      <c r="Q31" s="138"/>
      <c r="R31" s="138"/>
      <c r="S31" s="138"/>
      <c r="T31" s="138"/>
      <c r="U31" s="243" t="s">
        <v>353</v>
      </c>
      <c r="V31" s="244"/>
      <c r="W31" s="244"/>
      <c r="X31" s="244"/>
    </row>
    <row r="32" spans="1:25" s="134" customFormat="1" ht="60.75" thickBot="1" x14ac:dyDescent="0.3">
      <c r="B32" s="232"/>
      <c r="C32" s="135" t="s">
        <v>301</v>
      </c>
      <c r="D32" s="232"/>
      <c r="E32" s="136">
        <v>0</v>
      </c>
      <c r="F32" s="136">
        <v>1</v>
      </c>
      <c r="G32" s="136">
        <v>0</v>
      </c>
      <c r="H32" s="136">
        <v>1</v>
      </c>
      <c r="I32" s="136">
        <v>0</v>
      </c>
      <c r="J32" s="136">
        <v>0</v>
      </c>
      <c r="K32" s="137">
        <v>4</v>
      </c>
      <c r="L32" s="138"/>
      <c r="M32" s="138"/>
      <c r="N32" s="138"/>
      <c r="O32" s="138"/>
      <c r="P32" s="138"/>
      <c r="Q32" s="138"/>
      <c r="R32" s="138"/>
      <c r="S32" s="138"/>
      <c r="T32" s="138"/>
      <c r="U32" s="243" t="s">
        <v>351</v>
      </c>
      <c r="V32" s="244"/>
      <c r="W32" s="244"/>
      <c r="X32" s="244"/>
      <c r="Y32" s="134" t="s">
        <v>352</v>
      </c>
    </row>
    <row r="33" spans="1:27" ht="45" outlineLevel="3" x14ac:dyDescent="0.25">
      <c r="A33" s="113" t="s">
        <v>49</v>
      </c>
      <c r="B33" s="232"/>
      <c r="C33" s="114" t="s">
        <v>221</v>
      </c>
      <c r="D33" s="232"/>
      <c r="E33" s="139" t="s">
        <v>222</v>
      </c>
      <c r="F33" s="105" t="s">
        <v>223</v>
      </c>
      <c r="G33" s="105">
        <v>1</v>
      </c>
      <c r="H33" s="105">
        <v>0</v>
      </c>
      <c r="I33" s="105"/>
      <c r="J33" s="105"/>
      <c r="K33" s="105">
        <v>0</v>
      </c>
      <c r="L33" s="105"/>
      <c r="M33" s="105"/>
      <c r="N33" s="105"/>
      <c r="O33" s="105"/>
      <c r="P33" s="105"/>
      <c r="Q33" s="105"/>
      <c r="R33" s="105"/>
      <c r="S33" s="105"/>
      <c r="T33" s="105"/>
      <c r="U33" s="241" t="s">
        <v>224</v>
      </c>
      <c r="V33" s="242"/>
      <c r="W33" s="242"/>
      <c r="X33" s="242"/>
    </row>
    <row r="34" spans="1:27" ht="60" outlineLevel="3" x14ac:dyDescent="0.25">
      <c r="A34" s="113" t="s">
        <v>50</v>
      </c>
      <c r="B34" s="232"/>
      <c r="C34" s="114" t="s">
        <v>20</v>
      </c>
      <c r="D34" s="232"/>
      <c r="E34" s="139" t="s">
        <v>225</v>
      </c>
      <c r="F34" s="105" t="s">
        <v>226</v>
      </c>
      <c r="G34" s="105">
        <v>10</v>
      </c>
      <c r="H34" s="105">
        <v>10</v>
      </c>
      <c r="I34" s="105"/>
      <c r="J34" s="105"/>
      <c r="K34" s="105">
        <v>10</v>
      </c>
      <c r="L34" s="105"/>
      <c r="M34" s="105"/>
      <c r="N34" s="105"/>
      <c r="O34" s="105"/>
      <c r="P34" s="105"/>
      <c r="Q34" s="105"/>
      <c r="R34" s="105"/>
      <c r="S34" s="105"/>
      <c r="T34" s="105"/>
    </row>
    <row r="35" spans="1:27" ht="175.5" customHeight="1" outlineLevel="3" x14ac:dyDescent="0.25">
      <c r="A35" s="113" t="s">
        <v>227</v>
      </c>
      <c r="B35" s="232"/>
      <c r="C35" s="114" t="s">
        <v>228</v>
      </c>
      <c r="D35" s="232"/>
      <c r="E35" s="231" t="s">
        <v>229</v>
      </c>
      <c r="F35" s="228" t="s">
        <v>230</v>
      </c>
      <c r="G35" s="228">
        <v>6</v>
      </c>
      <c r="H35" s="228">
        <v>1</v>
      </c>
      <c r="I35" s="120"/>
      <c r="J35" s="120"/>
      <c r="K35" s="228">
        <v>7</v>
      </c>
      <c r="L35" s="105"/>
      <c r="M35" s="105">
        <v>1</v>
      </c>
      <c r="N35" s="105"/>
      <c r="O35" s="105"/>
      <c r="P35" s="105"/>
      <c r="Q35" s="105"/>
      <c r="R35" s="105"/>
      <c r="S35" s="105"/>
      <c r="T35" s="105"/>
      <c r="U35" s="239" t="s">
        <v>231</v>
      </c>
      <c r="V35" s="240"/>
      <c r="W35" s="240"/>
      <c r="X35" s="240"/>
      <c r="Y35" s="240" t="s">
        <v>356</v>
      </c>
      <c r="Z35" s="240"/>
      <c r="AA35" s="240"/>
    </row>
    <row r="36" spans="1:27" ht="60" outlineLevel="3" x14ac:dyDescent="0.25">
      <c r="A36" s="113"/>
      <c r="B36" s="233"/>
      <c r="C36" s="114" t="s">
        <v>232</v>
      </c>
      <c r="D36" s="233"/>
      <c r="E36" s="233"/>
      <c r="F36" s="230"/>
      <c r="G36" s="230"/>
      <c r="H36" s="230"/>
      <c r="I36" s="122"/>
      <c r="J36" s="122"/>
      <c r="K36" s="230"/>
      <c r="L36" s="105"/>
      <c r="M36" s="105"/>
      <c r="N36" s="105"/>
      <c r="O36" s="105"/>
      <c r="P36" s="105"/>
      <c r="Q36" s="105"/>
      <c r="R36" s="105"/>
      <c r="S36" s="105"/>
      <c r="T36" s="105"/>
    </row>
    <row r="37" spans="1:27" s="109" customFormat="1" ht="76.5" customHeight="1" outlineLevel="1" x14ac:dyDescent="0.25">
      <c r="A37" s="107">
        <v>3</v>
      </c>
      <c r="B37" s="226" t="s">
        <v>233</v>
      </c>
      <c r="C37" s="140" t="s">
        <v>17</v>
      </c>
      <c r="D37" s="115"/>
      <c r="E37" s="128"/>
      <c r="F37" s="104"/>
      <c r="G37" s="104"/>
      <c r="H37" s="104"/>
      <c r="I37" s="104"/>
      <c r="J37" s="104"/>
      <c r="K37" s="104"/>
      <c r="L37" s="104"/>
      <c r="M37" s="111">
        <v>65992.3</v>
      </c>
      <c r="N37" s="104">
        <v>61824</v>
      </c>
      <c r="O37" s="104"/>
      <c r="P37" s="104">
        <v>62856.6</v>
      </c>
      <c r="Q37" s="104"/>
      <c r="R37" s="104"/>
      <c r="S37" s="104"/>
      <c r="T37" s="104"/>
    </row>
    <row r="38" spans="1:27" ht="90" customHeight="1" outlineLevel="2" x14ac:dyDescent="0.25">
      <c r="A38" s="113" t="s">
        <v>51</v>
      </c>
      <c r="B38" s="226"/>
      <c r="C38" s="45" t="s">
        <v>11</v>
      </c>
      <c r="D38" s="115" t="s">
        <v>234</v>
      </c>
      <c r="E38" s="141" t="s">
        <v>235</v>
      </c>
      <c r="F38" s="105" t="s">
        <v>201</v>
      </c>
      <c r="G38" s="116">
        <v>100</v>
      </c>
      <c r="H38" s="116">
        <v>100</v>
      </c>
      <c r="I38" s="116"/>
      <c r="J38" s="116"/>
      <c r="K38" s="116">
        <v>100</v>
      </c>
      <c r="L38" s="105"/>
      <c r="M38" s="117">
        <f>60459.9+1762.7</f>
        <v>62222.6</v>
      </c>
      <c r="N38" s="105">
        <v>60189</v>
      </c>
      <c r="O38" s="105"/>
      <c r="P38" s="105">
        <v>61107.4</v>
      </c>
      <c r="Q38" s="105"/>
      <c r="R38" s="105"/>
      <c r="S38" s="105"/>
      <c r="T38" s="105"/>
    </row>
    <row r="39" spans="1:27" ht="90" customHeight="1" outlineLevel="2" x14ac:dyDescent="0.25">
      <c r="A39" s="113" t="s">
        <v>52</v>
      </c>
      <c r="B39" s="226"/>
      <c r="C39" s="45" t="s">
        <v>12</v>
      </c>
      <c r="D39" s="115" t="s">
        <v>236</v>
      </c>
      <c r="E39" s="141" t="s">
        <v>237</v>
      </c>
      <c r="F39" s="105" t="s">
        <v>238</v>
      </c>
      <c r="G39" s="105">
        <v>71</v>
      </c>
      <c r="H39" s="105">
        <v>71</v>
      </c>
      <c r="I39" s="105"/>
      <c r="J39" s="105"/>
      <c r="K39" s="105">
        <v>71</v>
      </c>
      <c r="L39" s="105"/>
      <c r="M39" s="117">
        <v>2125.1999999999998</v>
      </c>
      <c r="N39" s="105"/>
      <c r="O39" s="105"/>
      <c r="P39" s="105"/>
      <c r="Q39" s="105"/>
      <c r="R39" s="105"/>
      <c r="S39" s="105"/>
      <c r="T39" s="105"/>
    </row>
    <row r="40" spans="1:27" s="109" customFormat="1" ht="61.5" customHeight="1" outlineLevel="1" x14ac:dyDescent="0.25">
      <c r="A40" s="107">
        <v>4</v>
      </c>
      <c r="B40" s="226" t="s">
        <v>239</v>
      </c>
      <c r="C40" s="140" t="s">
        <v>18</v>
      </c>
      <c r="D40" s="104"/>
      <c r="E40" s="102"/>
      <c r="F40" s="104"/>
      <c r="G40" s="104"/>
      <c r="H40" s="104"/>
      <c r="I40" s="104"/>
      <c r="J40" s="104"/>
      <c r="K40" s="104"/>
      <c r="L40" s="104"/>
      <c r="M40" s="104"/>
      <c r="N40" s="104"/>
      <c r="O40" s="104"/>
      <c r="P40" s="104"/>
      <c r="Q40" s="104"/>
      <c r="R40" s="104"/>
      <c r="S40" s="104"/>
      <c r="T40" s="104"/>
    </row>
    <row r="41" spans="1:27" ht="96.75" customHeight="1" outlineLevel="2" x14ac:dyDescent="0.25">
      <c r="A41" s="113" t="s">
        <v>53</v>
      </c>
      <c r="B41" s="226"/>
      <c r="C41" s="246" t="s">
        <v>13</v>
      </c>
      <c r="D41" s="247" t="s">
        <v>240</v>
      </c>
      <c r="E41" s="141" t="s">
        <v>241</v>
      </c>
      <c r="F41" s="105" t="s">
        <v>242</v>
      </c>
      <c r="G41" s="105">
        <v>180</v>
      </c>
      <c r="H41" s="105">
        <v>180</v>
      </c>
      <c r="I41" s="105"/>
      <c r="J41" s="105"/>
      <c r="K41" s="105">
        <v>180</v>
      </c>
      <c r="L41" s="105"/>
      <c r="M41" s="105"/>
      <c r="N41" s="105"/>
      <c r="O41" s="105"/>
      <c r="P41" s="105"/>
      <c r="Q41" s="105"/>
      <c r="R41" s="105"/>
      <c r="S41" s="105"/>
      <c r="T41" s="105"/>
    </row>
    <row r="42" spans="1:27" ht="96.75" customHeight="1" outlineLevel="2" x14ac:dyDescent="0.25">
      <c r="A42" s="113"/>
      <c r="B42" s="226"/>
      <c r="C42" s="246"/>
      <c r="D42" s="247"/>
      <c r="E42" s="141" t="s">
        <v>243</v>
      </c>
      <c r="F42" s="105" t="s">
        <v>242</v>
      </c>
      <c r="G42" s="105">
        <v>45</v>
      </c>
      <c r="H42" s="105">
        <v>45</v>
      </c>
      <c r="I42" s="105"/>
      <c r="J42" s="105"/>
      <c r="K42" s="105">
        <v>45</v>
      </c>
      <c r="L42" s="105"/>
      <c r="M42" s="105"/>
      <c r="N42" s="105"/>
      <c r="O42" s="105"/>
      <c r="P42" s="105"/>
      <c r="Q42" s="105"/>
      <c r="R42" s="105"/>
      <c r="S42" s="105"/>
      <c r="T42" s="105"/>
    </row>
    <row r="43" spans="1:27" ht="66" customHeight="1" outlineLevel="2" x14ac:dyDescent="0.25">
      <c r="A43" s="113" t="s">
        <v>54</v>
      </c>
      <c r="B43" s="226"/>
      <c r="C43" s="45" t="s">
        <v>14</v>
      </c>
      <c r="D43" s="248" t="s">
        <v>244</v>
      </c>
      <c r="E43" s="141" t="s">
        <v>245</v>
      </c>
      <c r="F43" s="105" t="s">
        <v>242</v>
      </c>
      <c r="G43" s="105">
        <v>26</v>
      </c>
      <c r="H43" s="105">
        <v>26</v>
      </c>
      <c r="I43" s="105"/>
      <c r="J43" s="105"/>
      <c r="K43" s="105">
        <v>26</v>
      </c>
      <c r="L43" s="105"/>
      <c r="M43" s="105"/>
      <c r="N43" s="105"/>
      <c r="O43" s="105"/>
      <c r="P43" s="105"/>
      <c r="Q43" s="105"/>
      <c r="R43" s="105"/>
      <c r="S43" s="105"/>
      <c r="T43" s="105"/>
    </row>
    <row r="44" spans="1:27" ht="117.75" customHeight="1" outlineLevel="2" x14ac:dyDescent="0.25">
      <c r="A44" s="113" t="s">
        <v>55</v>
      </c>
      <c r="B44" s="226"/>
      <c r="C44" s="246" t="s">
        <v>90</v>
      </c>
      <c r="D44" s="248"/>
      <c r="E44" s="142" t="s">
        <v>246</v>
      </c>
      <c r="F44" s="105" t="s">
        <v>242</v>
      </c>
      <c r="G44" s="105">
        <v>100</v>
      </c>
      <c r="H44" s="105">
        <v>100</v>
      </c>
      <c r="I44" s="105"/>
      <c r="J44" s="105"/>
      <c r="K44" s="105">
        <v>100</v>
      </c>
      <c r="L44" s="105"/>
      <c r="M44" s="105"/>
      <c r="N44" s="105"/>
      <c r="O44" s="105"/>
      <c r="P44" s="105"/>
      <c r="Q44" s="105"/>
      <c r="R44" s="105"/>
      <c r="S44" s="105"/>
      <c r="T44" s="105"/>
    </row>
    <row r="45" spans="1:27" ht="75.75" customHeight="1" outlineLevel="2" x14ac:dyDescent="0.25">
      <c r="A45" s="113"/>
      <c r="B45" s="226"/>
      <c r="C45" s="246"/>
      <c r="D45" s="248"/>
      <c r="E45" s="143" t="s">
        <v>247</v>
      </c>
      <c r="F45" s="105" t="s">
        <v>242</v>
      </c>
      <c r="G45" s="105">
        <v>1500</v>
      </c>
      <c r="H45" s="105">
        <v>1500</v>
      </c>
      <c r="I45" s="105"/>
      <c r="J45" s="105"/>
      <c r="K45" s="105">
        <v>1500</v>
      </c>
      <c r="L45" s="105"/>
      <c r="M45" s="105"/>
      <c r="N45" s="105"/>
      <c r="O45" s="105"/>
      <c r="P45" s="105"/>
      <c r="Q45" s="105"/>
      <c r="R45" s="105"/>
      <c r="S45" s="105"/>
      <c r="T45" s="105"/>
    </row>
    <row r="46" spans="1:27" ht="75.75" customHeight="1" outlineLevel="2" x14ac:dyDescent="0.25">
      <c r="A46" s="228" t="s">
        <v>56</v>
      </c>
      <c r="B46" s="226"/>
      <c r="C46" s="246" t="s">
        <v>91</v>
      </c>
      <c r="D46" s="248"/>
      <c r="E46" s="128" t="s">
        <v>248</v>
      </c>
      <c r="F46" s="105" t="s">
        <v>249</v>
      </c>
      <c r="G46" s="105" t="s">
        <v>250</v>
      </c>
      <c r="H46" s="105" t="s">
        <v>250</v>
      </c>
      <c r="I46" s="105"/>
      <c r="J46" s="105"/>
      <c r="K46" s="105" t="s">
        <v>250</v>
      </c>
      <c r="L46" s="105"/>
      <c r="M46" s="105"/>
      <c r="N46" s="105"/>
      <c r="O46" s="105"/>
      <c r="P46" s="105"/>
      <c r="Q46" s="105"/>
      <c r="R46" s="105"/>
      <c r="S46" s="105"/>
      <c r="T46" s="105"/>
    </row>
    <row r="47" spans="1:27" ht="75.75" customHeight="1" outlineLevel="2" x14ac:dyDescent="0.25">
      <c r="A47" s="230"/>
      <c r="B47" s="226"/>
      <c r="C47" s="246"/>
      <c r="D47" s="248"/>
      <c r="E47" s="128" t="s">
        <v>251</v>
      </c>
      <c r="F47" s="105"/>
      <c r="G47" s="105"/>
      <c r="H47" s="105"/>
      <c r="I47" s="105"/>
      <c r="J47" s="105"/>
      <c r="K47" s="105"/>
      <c r="L47" s="105"/>
      <c r="M47" s="105"/>
      <c r="N47" s="105"/>
      <c r="O47" s="105"/>
      <c r="P47" s="105"/>
      <c r="Q47" s="105"/>
      <c r="R47" s="105"/>
      <c r="S47" s="105"/>
      <c r="T47" s="105"/>
    </row>
    <row r="48" spans="1:27" s="109" customFormat="1" ht="72.75" customHeight="1" outlineLevel="1" x14ac:dyDescent="0.25">
      <c r="A48" s="144">
        <v>5</v>
      </c>
      <c r="B48" s="231" t="s">
        <v>252</v>
      </c>
      <c r="C48" s="140" t="s">
        <v>19</v>
      </c>
      <c r="D48" s="104"/>
      <c r="E48" s="128"/>
      <c r="F48" s="104"/>
      <c r="G48" s="104"/>
      <c r="H48" s="104"/>
      <c r="I48" s="104"/>
      <c r="J48" s="104"/>
      <c r="K48" s="104"/>
      <c r="L48" s="104"/>
      <c r="M48" s="104"/>
      <c r="N48" s="104"/>
      <c r="O48" s="104"/>
      <c r="P48" s="104"/>
      <c r="Q48" s="104"/>
      <c r="R48" s="104"/>
      <c r="S48" s="104"/>
      <c r="T48" s="104"/>
    </row>
    <row r="49" spans="1:22" ht="47.25" customHeight="1" outlineLevel="3" x14ac:dyDescent="0.25">
      <c r="A49" s="113" t="s">
        <v>24</v>
      </c>
      <c r="B49" s="232"/>
      <c r="C49" s="45" t="s">
        <v>85</v>
      </c>
      <c r="D49" s="231" t="s">
        <v>253</v>
      </c>
      <c r="E49" s="226" t="s">
        <v>254</v>
      </c>
      <c r="F49" s="227" t="s">
        <v>255</v>
      </c>
      <c r="G49" s="227">
        <v>15</v>
      </c>
      <c r="H49" s="113"/>
      <c r="I49" s="113"/>
      <c r="J49" s="113"/>
      <c r="K49" s="113"/>
      <c r="L49" s="105"/>
      <c r="M49" s="105"/>
      <c r="N49" s="105"/>
      <c r="O49" s="105"/>
      <c r="P49" s="105"/>
      <c r="Q49" s="105"/>
      <c r="R49" s="105"/>
      <c r="S49" s="105"/>
      <c r="T49" s="105"/>
    </row>
    <row r="50" spans="1:22" ht="47.25" customHeight="1" outlineLevel="3" x14ac:dyDescent="0.25">
      <c r="A50" s="113" t="s">
        <v>25</v>
      </c>
      <c r="B50" s="232"/>
      <c r="C50" s="45" t="s">
        <v>86</v>
      </c>
      <c r="D50" s="232"/>
      <c r="E50" s="226"/>
      <c r="F50" s="227"/>
      <c r="G50" s="227"/>
      <c r="H50" s="113"/>
      <c r="I50" s="113"/>
      <c r="J50" s="113"/>
      <c r="K50" s="113"/>
      <c r="L50" s="105"/>
      <c r="M50" s="105"/>
      <c r="N50" s="105"/>
      <c r="O50" s="105"/>
      <c r="P50" s="105"/>
      <c r="Q50" s="105"/>
      <c r="R50" s="105"/>
      <c r="S50" s="105"/>
      <c r="T50" s="105"/>
    </row>
    <row r="51" spans="1:22" ht="47.25" customHeight="1" outlineLevel="3" x14ac:dyDescent="0.25">
      <c r="A51" s="113" t="s">
        <v>26</v>
      </c>
      <c r="B51" s="232"/>
      <c r="C51" s="45" t="s">
        <v>87</v>
      </c>
      <c r="D51" s="232"/>
      <c r="E51" s="226"/>
      <c r="F51" s="227"/>
      <c r="G51" s="227"/>
      <c r="H51" s="113"/>
      <c r="I51" s="113"/>
      <c r="J51" s="113"/>
      <c r="K51" s="113"/>
      <c r="L51" s="105"/>
      <c r="M51" s="105"/>
      <c r="N51" s="105"/>
      <c r="O51" s="105"/>
      <c r="P51" s="105"/>
      <c r="Q51" s="105"/>
      <c r="R51" s="105"/>
      <c r="S51" s="105"/>
      <c r="T51" s="105"/>
    </row>
    <row r="52" spans="1:22" ht="47.25" customHeight="1" outlineLevel="3" x14ac:dyDescent="0.25">
      <c r="A52" s="113" t="s">
        <v>27</v>
      </c>
      <c r="B52" s="232"/>
      <c r="C52" s="45" t="s">
        <v>88</v>
      </c>
      <c r="D52" s="232"/>
      <c r="E52" s="226"/>
      <c r="F52" s="227"/>
      <c r="G52" s="227"/>
      <c r="H52" s="113"/>
      <c r="I52" s="113"/>
      <c r="J52" s="113"/>
      <c r="K52" s="113"/>
      <c r="L52" s="105"/>
      <c r="M52" s="105"/>
      <c r="N52" s="105"/>
      <c r="O52" s="105"/>
      <c r="P52" s="105"/>
      <c r="Q52" s="105"/>
      <c r="R52" s="105"/>
      <c r="S52" s="105"/>
      <c r="T52" s="105"/>
    </row>
    <row r="53" spans="1:22" ht="47.25" customHeight="1" outlineLevel="3" x14ac:dyDescent="0.25">
      <c r="A53" s="113" t="s">
        <v>28</v>
      </c>
      <c r="B53" s="232"/>
      <c r="C53" s="45" t="s">
        <v>89</v>
      </c>
      <c r="D53" s="233"/>
      <c r="E53" s="226"/>
      <c r="F53" s="227"/>
      <c r="G53" s="227"/>
      <c r="H53" s="113"/>
      <c r="I53" s="113"/>
      <c r="J53" s="113"/>
      <c r="K53" s="113"/>
      <c r="L53" s="105"/>
      <c r="M53" s="105"/>
      <c r="N53" s="105"/>
      <c r="O53" s="105"/>
      <c r="P53" s="105"/>
      <c r="Q53" s="105"/>
      <c r="R53" s="105"/>
      <c r="S53" s="105"/>
      <c r="T53" s="105"/>
    </row>
    <row r="54" spans="1:22" ht="58.5" customHeight="1" outlineLevel="3" x14ac:dyDescent="0.25">
      <c r="A54" s="113"/>
      <c r="B54" s="232"/>
      <c r="C54" s="46" t="s">
        <v>256</v>
      </c>
      <c r="D54" s="231" t="s">
        <v>256</v>
      </c>
      <c r="E54" s="128"/>
      <c r="F54" s="113"/>
      <c r="G54" s="113"/>
      <c r="H54" s="113"/>
      <c r="I54" s="113"/>
      <c r="J54" s="113"/>
      <c r="K54" s="113"/>
      <c r="L54" s="105"/>
      <c r="M54" s="105"/>
      <c r="N54" s="105"/>
      <c r="O54" s="105"/>
      <c r="P54" s="105"/>
      <c r="Q54" s="105"/>
      <c r="R54" s="105"/>
      <c r="S54" s="105"/>
      <c r="T54" s="105"/>
    </row>
    <row r="55" spans="1:22" ht="47.25" customHeight="1" outlineLevel="3" x14ac:dyDescent="0.25">
      <c r="A55" s="113"/>
      <c r="B55" s="232"/>
      <c r="C55" s="1" t="s">
        <v>257</v>
      </c>
      <c r="D55" s="232"/>
      <c r="E55" s="128" t="s">
        <v>258</v>
      </c>
      <c r="F55" s="113" t="s">
        <v>259</v>
      </c>
      <c r="G55" s="113">
        <v>15</v>
      </c>
      <c r="H55" s="113">
        <v>0</v>
      </c>
      <c r="I55" s="113"/>
      <c r="J55" s="113"/>
      <c r="K55" s="113">
        <v>0</v>
      </c>
      <c r="L55" s="105"/>
      <c r="M55" s="105"/>
      <c r="N55" s="105"/>
      <c r="O55" s="105"/>
      <c r="P55" s="105"/>
      <c r="Q55" s="105"/>
      <c r="R55" s="105"/>
      <c r="S55" s="105"/>
      <c r="T55" s="105"/>
    </row>
    <row r="56" spans="1:22" ht="69.75" customHeight="1" outlineLevel="3" x14ac:dyDescent="0.25">
      <c r="A56" s="113"/>
      <c r="B56" s="233"/>
      <c r="C56" s="1" t="s">
        <v>260</v>
      </c>
      <c r="D56" s="233"/>
      <c r="E56" s="128" t="s">
        <v>261</v>
      </c>
      <c r="F56" s="113" t="s">
        <v>259</v>
      </c>
      <c r="G56" s="113"/>
      <c r="H56" s="113"/>
      <c r="I56" s="113"/>
      <c r="J56" s="113"/>
      <c r="K56" s="113">
        <v>1</v>
      </c>
      <c r="L56" s="105"/>
      <c r="M56" s="105">
        <v>1</v>
      </c>
      <c r="N56" s="105"/>
      <c r="O56" s="105"/>
      <c r="P56" s="105"/>
      <c r="Q56" s="105"/>
      <c r="R56" s="105"/>
      <c r="S56" s="105"/>
      <c r="T56" s="105"/>
      <c r="U56" s="145" t="s">
        <v>354</v>
      </c>
      <c r="V56" s="146" t="s">
        <v>355</v>
      </c>
    </row>
    <row r="57" spans="1:22" s="109" customFormat="1" ht="64.5" customHeight="1" outlineLevel="1" x14ac:dyDescent="0.25">
      <c r="A57" s="107">
        <v>6</v>
      </c>
      <c r="B57" s="226" t="s">
        <v>262</v>
      </c>
      <c r="C57" s="140" t="s">
        <v>263</v>
      </c>
      <c r="D57" s="115"/>
      <c r="E57" s="128"/>
      <c r="F57" s="115"/>
      <c r="G57" s="115"/>
      <c r="H57" s="115"/>
      <c r="I57" s="115"/>
      <c r="J57" s="115"/>
      <c r="K57" s="115"/>
      <c r="L57" s="104"/>
      <c r="M57" s="104"/>
      <c r="N57" s="104"/>
      <c r="O57" s="104"/>
      <c r="P57" s="104"/>
      <c r="Q57" s="104"/>
      <c r="R57" s="104"/>
      <c r="S57" s="104"/>
      <c r="T57" s="104"/>
    </row>
    <row r="58" spans="1:22" s="109" customFormat="1" ht="64.5" customHeight="1" outlineLevel="1" x14ac:dyDescent="0.25">
      <c r="A58" s="249" t="s">
        <v>33</v>
      </c>
      <c r="B58" s="226"/>
      <c r="C58" s="250" t="s">
        <v>264</v>
      </c>
      <c r="D58" s="226" t="s">
        <v>265</v>
      </c>
      <c r="E58" s="128" t="s">
        <v>266</v>
      </c>
      <c r="F58" s="115" t="s">
        <v>267</v>
      </c>
      <c r="G58" s="115">
        <v>306.3</v>
      </c>
      <c r="H58" s="115"/>
      <c r="I58" s="115"/>
      <c r="J58" s="115"/>
      <c r="K58" s="115"/>
      <c r="L58" s="104"/>
      <c r="M58" s="104"/>
      <c r="N58" s="104"/>
      <c r="O58" s="104"/>
      <c r="P58" s="104"/>
      <c r="Q58" s="104"/>
      <c r="R58" s="104"/>
      <c r="S58" s="104"/>
      <c r="T58" s="104"/>
    </row>
    <row r="59" spans="1:22" s="109" customFormat="1" ht="47.25" customHeight="1" outlineLevel="2" x14ac:dyDescent="0.25">
      <c r="A59" s="249"/>
      <c r="B59" s="226"/>
      <c r="C59" s="250"/>
      <c r="D59" s="226"/>
      <c r="E59" s="128" t="s">
        <v>268</v>
      </c>
      <c r="F59" s="115" t="s">
        <v>269</v>
      </c>
      <c r="G59" s="115"/>
      <c r="H59" s="115"/>
      <c r="I59" s="115"/>
      <c r="J59" s="115"/>
      <c r="K59" s="115"/>
      <c r="L59" s="104"/>
      <c r="M59" s="104"/>
      <c r="N59" s="104"/>
      <c r="O59" s="104"/>
      <c r="P59" s="104"/>
      <c r="Q59" s="104"/>
      <c r="R59" s="104"/>
      <c r="S59" s="104"/>
      <c r="T59" s="104"/>
    </row>
    <row r="60" spans="1:22" s="109" customFormat="1" ht="126.75" customHeight="1" outlineLevel="2" x14ac:dyDescent="0.25">
      <c r="A60" s="102" t="s">
        <v>34</v>
      </c>
      <c r="B60" s="226"/>
      <c r="C60" s="147" t="s">
        <v>57</v>
      </c>
      <c r="D60" s="115" t="s">
        <v>270</v>
      </c>
      <c r="E60" s="128" t="s">
        <v>271</v>
      </c>
      <c r="F60" s="115" t="s">
        <v>201</v>
      </c>
      <c r="G60" s="115">
        <v>100</v>
      </c>
      <c r="H60" s="115">
        <v>100</v>
      </c>
      <c r="I60" s="115"/>
      <c r="J60" s="115"/>
      <c r="K60" s="115">
        <v>100</v>
      </c>
      <c r="L60" s="104"/>
      <c r="M60" s="104"/>
      <c r="N60" s="104"/>
      <c r="O60" s="104"/>
      <c r="P60" s="104"/>
      <c r="Q60" s="104"/>
      <c r="R60" s="104"/>
      <c r="S60" s="104"/>
      <c r="T60" s="104"/>
    </row>
    <row r="61" spans="1:22" s="109" customFormat="1" ht="105.75" customHeight="1" outlineLevel="2" x14ac:dyDescent="0.25">
      <c r="A61" s="102" t="s">
        <v>35</v>
      </c>
      <c r="B61" s="226"/>
      <c r="C61" s="147" t="s">
        <v>58</v>
      </c>
      <c r="D61" s="115" t="s">
        <v>272</v>
      </c>
      <c r="E61" s="128" t="s">
        <v>273</v>
      </c>
      <c r="F61" s="115" t="s">
        <v>274</v>
      </c>
      <c r="G61" s="115">
        <v>100</v>
      </c>
      <c r="H61" s="115">
        <v>100</v>
      </c>
      <c r="I61" s="115"/>
      <c r="J61" s="115"/>
      <c r="K61" s="115">
        <v>100</v>
      </c>
      <c r="L61" s="104"/>
      <c r="M61" s="104"/>
      <c r="N61" s="104"/>
      <c r="O61" s="104"/>
      <c r="P61" s="104"/>
      <c r="Q61" s="104"/>
      <c r="R61" s="104"/>
      <c r="S61" s="104"/>
      <c r="T61" s="104"/>
    </row>
  </sheetData>
  <dataConsolidate/>
  <mergeCells count="64">
    <mergeCell ref="B57:B61"/>
    <mergeCell ref="A58:A59"/>
    <mergeCell ref="C58:C59"/>
    <mergeCell ref="D58:D59"/>
    <mergeCell ref="B48:B56"/>
    <mergeCell ref="D49:D53"/>
    <mergeCell ref="E49:E53"/>
    <mergeCell ref="F49:F53"/>
    <mergeCell ref="G49:G53"/>
    <mergeCell ref="D54:D56"/>
    <mergeCell ref="B40:B47"/>
    <mergeCell ref="C41:C42"/>
    <mergeCell ref="D41:D42"/>
    <mergeCell ref="D43:D47"/>
    <mergeCell ref="C44:C45"/>
    <mergeCell ref="A46:A47"/>
    <mergeCell ref="C46:C47"/>
    <mergeCell ref="G35:G36"/>
    <mergeCell ref="H35:H36"/>
    <mergeCell ref="K35:K36"/>
    <mergeCell ref="U35:X35"/>
    <mergeCell ref="Y35:AA35"/>
    <mergeCell ref="B37:B39"/>
    <mergeCell ref="L26:L27"/>
    <mergeCell ref="M26:M27"/>
    <mergeCell ref="U28:X28"/>
    <mergeCell ref="B29:B36"/>
    <mergeCell ref="D29:D36"/>
    <mergeCell ref="U31:X31"/>
    <mergeCell ref="U32:X32"/>
    <mergeCell ref="U33:X33"/>
    <mergeCell ref="E35:E36"/>
    <mergeCell ref="F35:F36"/>
    <mergeCell ref="D26:D27"/>
    <mergeCell ref="E26:E27"/>
    <mergeCell ref="F26:F27"/>
    <mergeCell ref="K16:K19"/>
    <mergeCell ref="U16:X19"/>
    <mergeCell ref="U20:X20"/>
    <mergeCell ref="U21:X24"/>
    <mergeCell ref="I16:I19"/>
    <mergeCell ref="F21:F24"/>
    <mergeCell ref="G21:G24"/>
    <mergeCell ref="H21:H24"/>
    <mergeCell ref="K21:K24"/>
    <mergeCell ref="G26:G27"/>
    <mergeCell ref="H26:H27"/>
    <mergeCell ref="K26:K27"/>
    <mergeCell ref="O1:T1"/>
    <mergeCell ref="B6:B28"/>
    <mergeCell ref="D7:D9"/>
    <mergeCell ref="D11:D14"/>
    <mergeCell ref="E11:E14"/>
    <mergeCell ref="F11:F14"/>
    <mergeCell ref="G11:G14"/>
    <mergeCell ref="H11:H14"/>
    <mergeCell ref="I11:I14"/>
    <mergeCell ref="K11:K14"/>
    <mergeCell ref="D16:D20"/>
    <mergeCell ref="E16:E19"/>
    <mergeCell ref="F16:F19"/>
    <mergeCell ref="G16:G19"/>
    <mergeCell ref="H16:H19"/>
    <mergeCell ref="E21:E24"/>
  </mergeCells>
  <printOptions horizontalCentered="1"/>
  <pageMargins left="0.39370078740157483" right="0.39370078740157483" top="0.59055118110236227" bottom="0.59055118110236227" header="0.31496062992125984" footer="0.31496062992125984"/>
  <pageSetup paperSize="9" scale="44" fitToHeight="3" orientation="landscape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Приложение 1</vt:lpstr>
      <vt:lpstr>Приложение 2 -ТЭО</vt:lpstr>
      <vt:lpstr>Приложение 3</vt:lpstr>
      <vt:lpstr>расчет</vt:lpstr>
      <vt:lpstr>'Приложение 2 -ТЭО'!Заголовки_для_печати</vt:lpstr>
      <vt:lpstr>расчет!Заголовки_для_печати</vt:lpstr>
      <vt:lpstr>'Приложение 2 -ТЭО'!Область_печати</vt:lpstr>
      <vt:lpstr>расчет!Область_печати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2018-12-25T08:05:01Z</dcterms:modified>
</cp:coreProperties>
</file>