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240" yWindow="5625" windowWidth="14805" windowHeight="2490" activeTab="2"/>
  </bookViews>
  <sheets>
    <sheet name="Приложение 1" sheetId="4" r:id="rId1"/>
    <sheet name="Приложение 2-ТЭО" sheetId="2" r:id="rId2"/>
    <sheet name="Приложение 3" sheetId="5" r:id="rId3"/>
  </sheets>
  <definedNames>
    <definedName name="_xlnm._FilterDatabase" localSheetId="1" hidden="1">'Приложение 2-ТЭО'!$A$4:$X$541</definedName>
    <definedName name="_xlnm.Print_Titles" localSheetId="1">'Приложение 2-ТЭО'!$4:$8</definedName>
    <definedName name="_xlnm.Print_Area" localSheetId="1">'Приложение 2-ТЭО'!$A$1:$AM$556</definedName>
  </definedNames>
  <calcPr calcId="144525"/>
</workbook>
</file>

<file path=xl/calcChain.xml><?xml version="1.0" encoding="utf-8"?>
<calcChain xmlns="http://schemas.openxmlformats.org/spreadsheetml/2006/main">
  <c r="H96" i="4" l="1"/>
  <c r="AB502" i="2" l="1"/>
  <c r="AB501" i="2" s="1"/>
  <c r="AB394" i="2"/>
  <c r="AG380" i="2" l="1"/>
  <c r="AB380" i="2"/>
  <c r="AB382" i="2"/>
  <c r="AB397" i="2"/>
  <c r="AB391" i="2"/>
  <c r="AB352" i="2"/>
  <c r="AB350" i="2"/>
  <c r="AB343" i="2"/>
  <c r="AB341" i="2"/>
  <c r="AB455" i="2"/>
  <c r="AB510" i="2"/>
  <c r="AC303" i="2"/>
  <c r="AB303" i="2"/>
  <c r="AI313" i="2"/>
  <c r="AD313" i="2"/>
  <c r="Y313" i="2"/>
  <c r="T313" i="2"/>
  <c r="O313" i="2"/>
  <c r="J313" i="2"/>
  <c r="I313" i="2"/>
  <c r="H313" i="2"/>
  <c r="G313" i="2"/>
  <c r="F313" i="2"/>
  <c r="AI314" i="2"/>
  <c r="AD314" i="2"/>
  <c r="Y314" i="2"/>
  <c r="T314" i="2"/>
  <c r="O314" i="2"/>
  <c r="J314" i="2"/>
  <c r="I314" i="2"/>
  <c r="H314" i="2"/>
  <c r="E314" i="2" s="1"/>
  <c r="G314" i="2"/>
  <c r="F314" i="2"/>
  <c r="AI315" i="2"/>
  <c r="AD315" i="2"/>
  <c r="Y315" i="2"/>
  <c r="T315" i="2"/>
  <c r="O315" i="2"/>
  <c r="J315" i="2"/>
  <c r="I315" i="2"/>
  <c r="H315" i="2"/>
  <c r="G315" i="2"/>
  <c r="F315" i="2"/>
  <c r="E315" i="2"/>
  <c r="AB272" i="2"/>
  <c r="AB241" i="2"/>
  <c r="AC239" i="2"/>
  <c r="AB239" i="2"/>
  <c r="AC225" i="2"/>
  <c r="AB225" i="2"/>
  <c r="AC240" i="2"/>
  <c r="AB240" i="2"/>
  <c r="AB222" i="2"/>
  <c r="AB197" i="2"/>
  <c r="AB166" i="2"/>
  <c r="AB169" i="2"/>
  <c r="AB145" i="2"/>
  <c r="AB167" i="2"/>
  <c r="E313" i="2" l="1"/>
  <c r="H79" i="4"/>
  <c r="AB349" i="2"/>
  <c r="AB383" i="2" l="1"/>
  <c r="AI511" i="2"/>
  <c r="AD511" i="2"/>
  <c r="Y511" i="2"/>
  <c r="T511" i="2"/>
  <c r="O511" i="2"/>
  <c r="J511" i="2"/>
  <c r="I511" i="2"/>
  <c r="H511" i="2"/>
  <c r="G511" i="2"/>
  <c r="F511" i="2"/>
  <c r="AI510" i="2"/>
  <c r="AD510" i="2"/>
  <c r="Y510" i="2"/>
  <c r="T510" i="2"/>
  <c r="O510" i="2"/>
  <c r="J510" i="2"/>
  <c r="I510" i="2"/>
  <c r="H510" i="2"/>
  <c r="E510" i="2" s="1"/>
  <c r="G510" i="2"/>
  <c r="F510" i="2"/>
  <c r="AI509" i="2"/>
  <c r="AD509" i="2"/>
  <c r="Y509" i="2"/>
  <c r="T509" i="2"/>
  <c r="O509" i="2"/>
  <c r="J509" i="2"/>
  <c r="I509" i="2"/>
  <c r="H509" i="2"/>
  <c r="G509" i="2"/>
  <c r="F509" i="2"/>
  <c r="E509" i="2"/>
  <c r="K505" i="2"/>
  <c r="L505" i="2"/>
  <c r="M505" i="2"/>
  <c r="N505" i="2"/>
  <c r="P505" i="2"/>
  <c r="Q505" i="2"/>
  <c r="R505" i="2"/>
  <c r="S505" i="2"/>
  <c r="U505" i="2"/>
  <c r="V505" i="2"/>
  <c r="W505" i="2"/>
  <c r="X505" i="2"/>
  <c r="Z505" i="2"/>
  <c r="AA505" i="2"/>
  <c r="AB505" i="2"/>
  <c r="AC505" i="2"/>
  <c r="AE505" i="2"/>
  <c r="AF505" i="2"/>
  <c r="AG505" i="2"/>
  <c r="AH505" i="2"/>
  <c r="AJ505" i="2"/>
  <c r="AK505" i="2"/>
  <c r="AL505" i="2"/>
  <c r="AM505" i="2"/>
  <c r="AI512" i="2"/>
  <c r="AD512" i="2"/>
  <c r="Y512" i="2"/>
  <c r="T512" i="2"/>
  <c r="O512" i="2"/>
  <c r="J512" i="2"/>
  <c r="I512" i="2"/>
  <c r="H512" i="2"/>
  <c r="G512" i="2"/>
  <c r="F512" i="2"/>
  <c r="AG488" i="2"/>
  <c r="AD488" i="2" s="1"/>
  <c r="AB375" i="2"/>
  <c r="AI487" i="2"/>
  <c r="AD487" i="2"/>
  <c r="Y487" i="2"/>
  <c r="T487" i="2"/>
  <c r="O487" i="2"/>
  <c r="J487" i="2"/>
  <c r="I487" i="2"/>
  <c r="H487" i="2"/>
  <c r="G487" i="2"/>
  <c r="F487" i="2"/>
  <c r="AB419" i="2"/>
  <c r="AB400" i="2"/>
  <c r="AB369" i="2"/>
  <c r="AB389" i="2"/>
  <c r="K464" i="2"/>
  <c r="L464" i="2"/>
  <c r="N464" i="2"/>
  <c r="P464" i="2"/>
  <c r="Q464" i="2"/>
  <c r="S464" i="2"/>
  <c r="U464" i="2"/>
  <c r="V464" i="2"/>
  <c r="X464" i="2"/>
  <c r="Z464" i="2"/>
  <c r="AA464" i="2"/>
  <c r="AB464" i="2"/>
  <c r="AC464" i="2"/>
  <c r="AE464" i="2"/>
  <c r="AF464" i="2"/>
  <c r="AG464" i="2"/>
  <c r="AH464" i="2"/>
  <c r="AJ464" i="2"/>
  <c r="AK464" i="2"/>
  <c r="AL464" i="2"/>
  <c r="AM464" i="2"/>
  <c r="AI488" i="2"/>
  <c r="Y488" i="2"/>
  <c r="T488" i="2"/>
  <c r="O488" i="2"/>
  <c r="J488" i="2"/>
  <c r="I488" i="2"/>
  <c r="G488" i="2"/>
  <c r="F488" i="2"/>
  <c r="AB361" i="2"/>
  <c r="AI312" i="2"/>
  <c r="AD312" i="2"/>
  <c r="Y312" i="2"/>
  <c r="T312" i="2"/>
  <c r="O312" i="2"/>
  <c r="J312" i="2"/>
  <c r="I312" i="2"/>
  <c r="H312" i="2"/>
  <c r="G312" i="2"/>
  <c r="F312" i="2"/>
  <c r="E312" i="2"/>
  <c r="K252" i="2"/>
  <c r="L252" i="2"/>
  <c r="P252" i="2"/>
  <c r="Q252" i="2"/>
  <c r="S252" i="2"/>
  <c r="U252" i="2"/>
  <c r="V252" i="2"/>
  <c r="X252" i="2"/>
  <c r="Z252" i="2"/>
  <c r="AA252" i="2"/>
  <c r="AC252" i="2"/>
  <c r="AE252" i="2"/>
  <c r="AF252" i="2"/>
  <c r="AG252" i="2"/>
  <c r="AH252" i="2"/>
  <c r="AJ252" i="2"/>
  <c r="AK252" i="2"/>
  <c r="AL252" i="2"/>
  <c r="AM252" i="2"/>
  <c r="AI279" i="2"/>
  <c r="AD279" i="2"/>
  <c r="Y279" i="2"/>
  <c r="W279" i="2"/>
  <c r="H279" i="2" s="1"/>
  <c r="T279" i="2"/>
  <c r="O279" i="2"/>
  <c r="J279" i="2"/>
  <c r="I279" i="2"/>
  <c r="G279" i="2"/>
  <c r="F279" i="2"/>
  <c r="E487" i="2" l="1"/>
  <c r="E279" i="2"/>
  <c r="H488" i="2"/>
  <c r="E488" i="2" s="1"/>
  <c r="E511" i="2"/>
  <c r="E512" i="2"/>
  <c r="AB278" i="2" l="1"/>
  <c r="AB277" i="2"/>
  <c r="AB276" i="2"/>
  <c r="AB275" i="2"/>
  <c r="AB260" i="2"/>
  <c r="AB252" i="2" s="1"/>
  <c r="K221" i="2" l="1"/>
  <c r="L221" i="2"/>
  <c r="P221" i="2"/>
  <c r="Q221" i="2"/>
  <c r="U221" i="2"/>
  <c r="V221" i="2"/>
  <c r="Z221" i="2"/>
  <c r="AA221" i="2"/>
  <c r="AB221" i="2"/>
  <c r="AC221" i="2"/>
  <c r="AI243" i="2" l="1"/>
  <c r="AD243" i="2"/>
  <c r="Y243" i="2"/>
  <c r="T243" i="2"/>
  <c r="O243" i="2"/>
  <c r="J243" i="2"/>
  <c r="I243" i="2"/>
  <c r="H243" i="2"/>
  <c r="G243" i="2"/>
  <c r="F243" i="2"/>
  <c r="E243" i="2" l="1"/>
  <c r="K211" i="2"/>
  <c r="L211" i="2"/>
  <c r="N211" i="2"/>
  <c r="P211" i="2"/>
  <c r="Q211" i="2"/>
  <c r="R211" i="2"/>
  <c r="S211" i="2"/>
  <c r="U211" i="2"/>
  <c r="V211" i="2"/>
  <c r="W211" i="2"/>
  <c r="X211" i="2"/>
  <c r="Z211" i="2"/>
  <c r="AA211" i="2"/>
  <c r="AB211" i="2"/>
  <c r="AC211" i="2"/>
  <c r="AE211" i="2"/>
  <c r="AF211" i="2"/>
  <c r="AG211" i="2"/>
  <c r="AH211" i="2"/>
  <c r="AJ211" i="2"/>
  <c r="AK211" i="2"/>
  <c r="AL211" i="2"/>
  <c r="AM211" i="2"/>
  <c r="AI220" i="2"/>
  <c r="AD220" i="2"/>
  <c r="Y220" i="2"/>
  <c r="T220" i="2"/>
  <c r="O220" i="2"/>
  <c r="J220" i="2"/>
  <c r="I220" i="2"/>
  <c r="E220" i="2" s="1"/>
  <c r="H220" i="2"/>
  <c r="G220" i="2"/>
  <c r="F220" i="2"/>
  <c r="AI219" i="2"/>
  <c r="AD219" i="2"/>
  <c r="Y219" i="2"/>
  <c r="T219" i="2"/>
  <c r="O219" i="2"/>
  <c r="J219" i="2"/>
  <c r="I219" i="2"/>
  <c r="H219" i="2"/>
  <c r="G219" i="2"/>
  <c r="F219" i="2"/>
  <c r="AB209" i="2"/>
  <c r="AB198" i="2"/>
  <c r="K156" i="2"/>
  <c r="L156" i="2"/>
  <c r="N156" i="2"/>
  <c r="P156" i="2"/>
  <c r="Q156" i="2"/>
  <c r="S156" i="2"/>
  <c r="U156" i="2"/>
  <c r="V156" i="2"/>
  <c r="X156" i="2"/>
  <c r="Z156" i="2"/>
  <c r="AA156" i="2"/>
  <c r="AC156" i="2"/>
  <c r="AE156" i="2"/>
  <c r="AG156" i="2"/>
  <c r="AJ156" i="2"/>
  <c r="AK156" i="2"/>
  <c r="AL156" i="2"/>
  <c r="AM156" i="2"/>
  <c r="AI172" i="2"/>
  <c r="AH172" i="2"/>
  <c r="I172" i="2" s="1"/>
  <c r="H172" i="2"/>
  <c r="Y172" i="2"/>
  <c r="T172" i="2"/>
  <c r="O172" i="2"/>
  <c r="J172" i="2"/>
  <c r="G172" i="2"/>
  <c r="F172" i="2"/>
  <c r="K148" i="2"/>
  <c r="L148" i="2"/>
  <c r="N148" i="2"/>
  <c r="P148" i="2"/>
  <c r="Q148" i="2"/>
  <c r="S148" i="2"/>
  <c r="U148" i="2"/>
  <c r="V148" i="2"/>
  <c r="X148" i="2"/>
  <c r="Z148" i="2"/>
  <c r="AA148" i="2"/>
  <c r="AC148" i="2"/>
  <c r="AE148" i="2"/>
  <c r="AG148" i="2"/>
  <c r="AJ148" i="2"/>
  <c r="AK148" i="2"/>
  <c r="AL148" i="2"/>
  <c r="AM148" i="2"/>
  <c r="AI155" i="2"/>
  <c r="AD155" i="2"/>
  <c r="H155" i="2"/>
  <c r="Y155" i="2"/>
  <c r="T155" i="2"/>
  <c r="O155" i="2"/>
  <c r="J155" i="2"/>
  <c r="I155" i="2"/>
  <c r="G155" i="2"/>
  <c r="F155" i="2"/>
  <c r="E219" i="2" l="1"/>
  <c r="E155" i="2"/>
  <c r="E172" i="2"/>
  <c r="AD172" i="2"/>
  <c r="H80" i="4"/>
  <c r="H327" i="2"/>
  <c r="AI311" i="2" l="1"/>
  <c r="AD311" i="2"/>
  <c r="Y311" i="2"/>
  <c r="T311" i="2"/>
  <c r="O311" i="2"/>
  <c r="J311" i="2"/>
  <c r="I311" i="2"/>
  <c r="H311" i="2"/>
  <c r="G311" i="2"/>
  <c r="F311" i="2"/>
  <c r="AI310" i="2"/>
  <c r="AD310" i="2"/>
  <c r="Y310" i="2"/>
  <c r="T310" i="2"/>
  <c r="O310" i="2"/>
  <c r="J310" i="2"/>
  <c r="I310" i="2"/>
  <c r="H310" i="2"/>
  <c r="G310" i="2"/>
  <c r="F310" i="2"/>
  <c r="AB307" i="2"/>
  <c r="AA307" i="2"/>
  <c r="AL321" i="2"/>
  <c r="AL316" i="2" s="1"/>
  <c r="AG321" i="2"/>
  <c r="AG316" i="2" s="1"/>
  <c r="AB321" i="2"/>
  <c r="AB316" i="2" s="1"/>
  <c r="R316" i="2"/>
  <c r="M316" i="2"/>
  <c r="J316" i="2"/>
  <c r="AI327" i="2"/>
  <c r="AD327" i="2"/>
  <c r="Y327" i="2"/>
  <c r="T327" i="2"/>
  <c r="O327" i="2"/>
  <c r="J327" i="2"/>
  <c r="I327" i="2"/>
  <c r="G327" i="2"/>
  <c r="F327" i="2"/>
  <c r="E310" i="2" l="1"/>
  <c r="E311" i="2"/>
  <c r="E327" i="2"/>
  <c r="AI242" i="2"/>
  <c r="AD242" i="2"/>
  <c r="Y242" i="2"/>
  <c r="T242" i="2"/>
  <c r="O242" i="2"/>
  <c r="J242" i="2"/>
  <c r="I242" i="2"/>
  <c r="H242" i="2"/>
  <c r="G242" i="2"/>
  <c r="F242" i="2"/>
  <c r="AB171" i="2"/>
  <c r="E242" i="2" l="1"/>
  <c r="L496" i="2"/>
  <c r="N496" i="2"/>
  <c r="V496" i="2"/>
  <c r="W496" i="2"/>
  <c r="AC496" i="2"/>
  <c r="AB496" i="2"/>
  <c r="AI508" i="2"/>
  <c r="AD508" i="2"/>
  <c r="Y508" i="2"/>
  <c r="T508" i="2"/>
  <c r="O508" i="2"/>
  <c r="J508" i="2"/>
  <c r="I508" i="2"/>
  <c r="H508" i="2"/>
  <c r="G508" i="2"/>
  <c r="F508" i="2"/>
  <c r="AI504" i="2"/>
  <c r="AD504" i="2"/>
  <c r="Y504" i="2"/>
  <c r="T504" i="2"/>
  <c r="O504" i="2"/>
  <c r="J504" i="2"/>
  <c r="I504" i="2"/>
  <c r="H504" i="2"/>
  <c r="G504" i="2"/>
  <c r="F504" i="2"/>
  <c r="AI503" i="2"/>
  <c r="AD503" i="2"/>
  <c r="Y503" i="2"/>
  <c r="T503" i="2"/>
  <c r="O503" i="2"/>
  <c r="J503" i="2"/>
  <c r="J501" i="2" s="1"/>
  <c r="I503" i="2"/>
  <c r="H503" i="2"/>
  <c r="G503" i="2"/>
  <c r="F503" i="2"/>
  <c r="AI502" i="2"/>
  <c r="AD502" i="2"/>
  <c r="AD501" i="2" s="1"/>
  <c r="Y502" i="2"/>
  <c r="T502" i="2"/>
  <c r="T501" i="2" s="1"/>
  <c r="O502" i="2"/>
  <c r="O501" i="2" s="1"/>
  <c r="J502" i="2"/>
  <c r="I502" i="2"/>
  <c r="H502" i="2"/>
  <c r="G502" i="2"/>
  <c r="F502" i="2"/>
  <c r="F501" i="2" s="1"/>
  <c r="AM501" i="2"/>
  <c r="AL501" i="2"/>
  <c r="AK501" i="2"/>
  <c r="AJ501" i="2"/>
  <c r="AH501" i="2"/>
  <c r="AG501" i="2"/>
  <c r="AF501" i="2"/>
  <c r="AE501" i="2"/>
  <c r="AE496" i="2" s="1"/>
  <c r="AC501" i="2"/>
  <c r="AA501" i="2"/>
  <c r="Z501" i="2"/>
  <c r="X501" i="2"/>
  <c r="W501" i="2"/>
  <c r="V501" i="2"/>
  <c r="U501" i="2"/>
  <c r="S501" i="2"/>
  <c r="R501" i="2"/>
  <c r="Q501" i="2"/>
  <c r="P501" i="2"/>
  <c r="N501" i="2"/>
  <c r="M501" i="2"/>
  <c r="L501" i="2"/>
  <c r="K501" i="2"/>
  <c r="J497" i="2"/>
  <c r="K497" i="2"/>
  <c r="K496" i="2" s="1"/>
  <c r="L497" i="2"/>
  <c r="M497" i="2"/>
  <c r="M496" i="2" s="1"/>
  <c r="N497" i="2"/>
  <c r="P497" i="2"/>
  <c r="P496" i="2" s="1"/>
  <c r="Q497" i="2"/>
  <c r="Q496" i="2" s="1"/>
  <c r="R497" i="2"/>
  <c r="R496" i="2" s="1"/>
  <c r="S497" i="2"/>
  <c r="S496" i="2" s="1"/>
  <c r="U497" i="2"/>
  <c r="U496" i="2" s="1"/>
  <c r="V497" i="2"/>
  <c r="W497" i="2"/>
  <c r="X497" i="2"/>
  <c r="X496" i="2" s="1"/>
  <c r="Z497" i="2"/>
  <c r="Z496" i="2" s="1"/>
  <c r="AA497" i="2"/>
  <c r="AA496" i="2" s="1"/>
  <c r="AB497" i="2"/>
  <c r="AC497" i="2"/>
  <c r="AE497" i="2"/>
  <c r="AF497" i="2"/>
  <c r="AF496" i="2" s="1"/>
  <c r="AG497" i="2"/>
  <c r="AH497" i="2"/>
  <c r="AH496" i="2" s="1"/>
  <c r="AI497" i="2"/>
  <c r="AJ497" i="2"/>
  <c r="AJ496" i="2" s="1"/>
  <c r="AK497" i="2"/>
  <c r="AK496" i="2" s="1"/>
  <c r="AL497" i="2"/>
  <c r="AL496" i="2" s="1"/>
  <c r="AM497" i="2"/>
  <c r="AM496" i="2" s="1"/>
  <c r="AI500" i="2"/>
  <c r="AD500" i="2"/>
  <c r="Y500" i="2"/>
  <c r="Y497" i="2" s="1"/>
  <c r="T500" i="2"/>
  <c r="O500" i="2"/>
  <c r="J500" i="2"/>
  <c r="I500" i="2"/>
  <c r="H500" i="2"/>
  <c r="G500" i="2"/>
  <c r="F500" i="2"/>
  <c r="AI499" i="2"/>
  <c r="AD499" i="2"/>
  <c r="Y499" i="2"/>
  <c r="T499" i="2"/>
  <c r="O499" i="2"/>
  <c r="J499" i="2"/>
  <c r="I499" i="2"/>
  <c r="H499" i="2"/>
  <c r="G499" i="2"/>
  <c r="F499" i="2"/>
  <c r="AI498" i="2"/>
  <c r="AD498" i="2"/>
  <c r="AD497" i="2" s="1"/>
  <c r="Y498" i="2"/>
  <c r="T498" i="2"/>
  <c r="T497" i="2" s="1"/>
  <c r="O498" i="2"/>
  <c r="O497" i="2" s="1"/>
  <c r="J498" i="2"/>
  <c r="I498" i="2"/>
  <c r="H498" i="2"/>
  <c r="G498" i="2"/>
  <c r="F498" i="2"/>
  <c r="F497" i="2" s="1"/>
  <c r="E508" i="2" l="1"/>
  <c r="Y501" i="2"/>
  <c r="AI501" i="2"/>
  <c r="AG496" i="2"/>
  <c r="H501" i="2"/>
  <c r="E498" i="2"/>
  <c r="G501" i="2"/>
  <c r="G497" i="2"/>
  <c r="E500" i="2"/>
  <c r="I497" i="2"/>
  <c r="H497" i="2"/>
  <c r="E502" i="2"/>
  <c r="E504" i="2"/>
  <c r="E503" i="2"/>
  <c r="I501" i="2"/>
  <c r="E499" i="2"/>
  <c r="E501" i="2" l="1"/>
  <c r="E497" i="2"/>
  <c r="AB170" i="2"/>
  <c r="AB156" i="2" s="1"/>
  <c r="AI507" i="2" l="1"/>
  <c r="AD507" i="2"/>
  <c r="H507" i="2"/>
  <c r="Y507" i="2"/>
  <c r="T507" i="2"/>
  <c r="O507" i="2"/>
  <c r="J507" i="2"/>
  <c r="I507" i="2"/>
  <c r="G507" i="2"/>
  <c r="F507" i="2"/>
  <c r="E507" i="2" l="1"/>
  <c r="AB379" i="2" l="1"/>
  <c r="AB372" i="2"/>
  <c r="AI309" i="2" l="1"/>
  <c r="AD309" i="2"/>
  <c r="Y309" i="2"/>
  <c r="T309" i="2"/>
  <c r="O309" i="2"/>
  <c r="J309" i="2"/>
  <c r="I309" i="2"/>
  <c r="H309" i="2"/>
  <c r="G309" i="2"/>
  <c r="F309" i="2"/>
  <c r="AI308" i="2"/>
  <c r="AD308" i="2"/>
  <c r="Y308" i="2"/>
  <c r="T308" i="2"/>
  <c r="O308" i="2"/>
  <c r="J308" i="2"/>
  <c r="I308" i="2"/>
  <c r="E308" i="2" s="1"/>
  <c r="H308" i="2"/>
  <c r="G308" i="2"/>
  <c r="F308" i="2"/>
  <c r="AI307" i="2"/>
  <c r="AD307" i="2"/>
  <c r="Y307" i="2"/>
  <c r="T307" i="2"/>
  <c r="O307" i="2"/>
  <c r="J307" i="2"/>
  <c r="I307" i="2"/>
  <c r="H307" i="2"/>
  <c r="G307" i="2"/>
  <c r="F307" i="2"/>
  <c r="AI306" i="2"/>
  <c r="AD306" i="2"/>
  <c r="Y306" i="2"/>
  <c r="T306" i="2"/>
  <c r="O306" i="2"/>
  <c r="J306" i="2"/>
  <c r="I306" i="2"/>
  <c r="H306" i="2"/>
  <c r="G306" i="2"/>
  <c r="F306" i="2"/>
  <c r="AI305" i="2"/>
  <c r="AD305" i="2"/>
  <c r="Y305" i="2"/>
  <c r="T305" i="2"/>
  <c r="O305" i="2"/>
  <c r="J305" i="2"/>
  <c r="I305" i="2"/>
  <c r="H305" i="2"/>
  <c r="G305" i="2"/>
  <c r="F305" i="2"/>
  <c r="AI304" i="2"/>
  <c r="AD304" i="2"/>
  <c r="Y304" i="2"/>
  <c r="T304" i="2"/>
  <c r="O304" i="2"/>
  <c r="J304" i="2"/>
  <c r="I304" i="2"/>
  <c r="H304" i="2"/>
  <c r="G304" i="2"/>
  <c r="F304" i="2"/>
  <c r="AI302" i="2"/>
  <c r="AD302" i="2"/>
  <c r="Y302" i="2"/>
  <c r="T302" i="2"/>
  <c r="O302" i="2"/>
  <c r="J302" i="2"/>
  <c r="I302" i="2"/>
  <c r="H302" i="2"/>
  <c r="G302" i="2"/>
  <c r="F302" i="2"/>
  <c r="E309" i="2" l="1"/>
  <c r="E306" i="2"/>
  <c r="E307" i="2"/>
  <c r="E305" i="2"/>
  <c r="E304" i="2"/>
  <c r="E302" i="2"/>
  <c r="AI240" i="2" l="1"/>
  <c r="AD240" i="2"/>
  <c r="T240" i="2"/>
  <c r="O240" i="2"/>
  <c r="J240" i="2"/>
  <c r="F240" i="2"/>
  <c r="AA244" i="2"/>
  <c r="W244" i="2"/>
  <c r="AI241" i="2"/>
  <c r="AD241" i="2"/>
  <c r="Y241" i="2"/>
  <c r="T241" i="2"/>
  <c r="O241" i="2"/>
  <c r="J241" i="2"/>
  <c r="H241" i="2"/>
  <c r="F241" i="2"/>
  <c r="Y239" i="2"/>
  <c r="T239" i="2"/>
  <c r="O239" i="2"/>
  <c r="J239" i="2"/>
  <c r="F239" i="2"/>
  <c r="Y238" i="2"/>
  <c r="T238" i="2"/>
  <c r="O238" i="2"/>
  <c r="J238" i="2"/>
  <c r="F238" i="2"/>
  <c r="G240" i="2" l="1"/>
  <c r="H240" i="2"/>
  <c r="Y240" i="2"/>
  <c r="I240" i="2"/>
  <c r="I241" i="2"/>
  <c r="G241" i="2"/>
  <c r="E241" i="2" s="1"/>
  <c r="AB189" i="2"/>
  <c r="AL209" i="2"/>
  <c r="AG209" i="2"/>
  <c r="W209" i="2"/>
  <c r="AB154" i="2"/>
  <c r="AB148" i="2" s="1"/>
  <c r="E240" i="2" l="1"/>
  <c r="AB373" i="2"/>
  <c r="AB376" i="2"/>
  <c r="AB365" i="2"/>
  <c r="AB374" i="2"/>
  <c r="AI486" i="2"/>
  <c r="AD486" i="2"/>
  <c r="Y486" i="2"/>
  <c r="T486" i="2"/>
  <c r="O486" i="2"/>
  <c r="J486" i="2"/>
  <c r="I486" i="2"/>
  <c r="H486" i="2"/>
  <c r="G486" i="2"/>
  <c r="F486" i="2"/>
  <c r="AI485" i="2"/>
  <c r="AD485" i="2"/>
  <c r="Y485" i="2"/>
  <c r="T485" i="2"/>
  <c r="O485" i="2"/>
  <c r="J485" i="2"/>
  <c r="I485" i="2"/>
  <c r="H485" i="2"/>
  <c r="G485" i="2"/>
  <c r="F485" i="2"/>
  <c r="AI484" i="2"/>
  <c r="AD484" i="2"/>
  <c r="Y484" i="2"/>
  <c r="T484" i="2"/>
  <c r="O484" i="2"/>
  <c r="J484" i="2"/>
  <c r="I484" i="2"/>
  <c r="H484" i="2"/>
  <c r="G484" i="2"/>
  <c r="F484" i="2"/>
  <c r="K409" i="2"/>
  <c r="L409" i="2"/>
  <c r="M409" i="2"/>
  <c r="N409" i="2"/>
  <c r="P409" i="2"/>
  <c r="Q409" i="2"/>
  <c r="S409" i="2"/>
  <c r="U409" i="2"/>
  <c r="V409" i="2"/>
  <c r="X409" i="2"/>
  <c r="Z409" i="2"/>
  <c r="AA409" i="2"/>
  <c r="AB409" i="2"/>
  <c r="AC409" i="2"/>
  <c r="AE409" i="2"/>
  <c r="AF409" i="2"/>
  <c r="AG409" i="2"/>
  <c r="AH409" i="2"/>
  <c r="AJ409" i="2"/>
  <c r="AK409" i="2"/>
  <c r="AL409" i="2"/>
  <c r="AM409" i="2"/>
  <c r="Y419" i="2"/>
  <c r="AD419" i="2"/>
  <c r="AI419" i="2"/>
  <c r="Y420" i="2"/>
  <c r="AD420" i="2"/>
  <c r="AI420" i="2"/>
  <c r="O419" i="2"/>
  <c r="O420" i="2"/>
  <c r="I419" i="2"/>
  <c r="J419" i="2"/>
  <c r="I420" i="2"/>
  <c r="J420" i="2"/>
  <c r="T420" i="2"/>
  <c r="H420" i="2"/>
  <c r="G420" i="2"/>
  <c r="F420" i="2"/>
  <c r="AL402" i="2"/>
  <c r="AL401" i="2"/>
  <c r="AL400" i="2"/>
  <c r="AL399" i="2"/>
  <c r="AL398" i="2"/>
  <c r="AL397" i="2"/>
  <c r="AL396" i="2"/>
  <c r="AL395" i="2"/>
  <c r="AL394" i="2"/>
  <c r="AL393" i="2"/>
  <c r="AL392" i="2"/>
  <c r="AL391" i="2"/>
  <c r="AL390" i="2"/>
  <c r="AL389" i="2"/>
  <c r="AL388" i="2"/>
  <c r="AL387" i="2"/>
  <c r="AL386" i="2"/>
  <c r="AL385" i="2"/>
  <c r="AG402" i="2"/>
  <c r="AG401" i="2"/>
  <c r="AG400" i="2"/>
  <c r="AG399" i="2"/>
  <c r="AG398" i="2"/>
  <c r="AG397" i="2"/>
  <c r="AG396" i="2"/>
  <c r="AG395" i="2"/>
  <c r="AG394" i="2"/>
  <c r="AG393" i="2"/>
  <c r="AG392" i="2"/>
  <c r="AG391" i="2"/>
  <c r="AG390" i="2"/>
  <c r="AG389" i="2"/>
  <c r="AG388" i="2"/>
  <c r="AG387" i="2"/>
  <c r="AG386" i="2"/>
  <c r="AG385" i="2"/>
  <c r="AB402" i="2"/>
  <c r="AB401" i="2"/>
  <c r="AB399" i="2"/>
  <c r="AB398" i="2"/>
  <c r="AB396" i="2"/>
  <c r="AB395" i="2"/>
  <c r="AB393" i="2"/>
  <c r="AB392" i="2"/>
  <c r="AB390" i="2"/>
  <c r="AB388" i="2"/>
  <c r="AB387" i="2"/>
  <c r="AB386" i="2"/>
  <c r="AB385" i="2"/>
  <c r="AI278" i="2"/>
  <c r="AD278" i="2"/>
  <c r="Y278" i="2"/>
  <c r="W278" i="2"/>
  <c r="T278" i="2" s="1"/>
  <c r="O278" i="2"/>
  <c r="J278" i="2"/>
  <c r="I278" i="2"/>
  <c r="G278" i="2"/>
  <c r="F278" i="2"/>
  <c r="AI277" i="2"/>
  <c r="AD277" i="2"/>
  <c r="Y277" i="2"/>
  <c r="W277" i="2"/>
  <c r="T277" i="2" s="1"/>
  <c r="O277" i="2"/>
  <c r="J277" i="2"/>
  <c r="I277" i="2"/>
  <c r="G277" i="2"/>
  <c r="F277" i="2"/>
  <c r="K189" i="2"/>
  <c r="L189" i="2"/>
  <c r="N189" i="2"/>
  <c r="P189" i="2"/>
  <c r="Q189" i="2"/>
  <c r="R189" i="2"/>
  <c r="S189" i="2"/>
  <c r="U189" i="2"/>
  <c r="V189" i="2"/>
  <c r="X189" i="2"/>
  <c r="Z189" i="2"/>
  <c r="AA189" i="2"/>
  <c r="AC189" i="2"/>
  <c r="AE189" i="2"/>
  <c r="AF189" i="2"/>
  <c r="AG189" i="2"/>
  <c r="AH189" i="2"/>
  <c r="AJ189" i="2"/>
  <c r="AK189" i="2"/>
  <c r="AL189" i="2"/>
  <c r="AM189" i="2"/>
  <c r="F199" i="2"/>
  <c r="G199" i="2"/>
  <c r="H199" i="2"/>
  <c r="I199" i="2"/>
  <c r="J199" i="2"/>
  <c r="O199" i="2"/>
  <c r="T199" i="2"/>
  <c r="Y199" i="2"/>
  <c r="AD199" i="2"/>
  <c r="AI199" i="2"/>
  <c r="AL145" i="2"/>
  <c r="AL144" i="2"/>
  <c r="AL143" i="2"/>
  <c r="AL142" i="2"/>
  <c r="AL141" i="2"/>
  <c r="AL140" i="2"/>
  <c r="AL139" i="2"/>
  <c r="AL138" i="2"/>
  <c r="AL137" i="2"/>
  <c r="AL135" i="2"/>
  <c r="AL132" i="2"/>
  <c r="AG145" i="2"/>
  <c r="AG144" i="2"/>
  <c r="AG143" i="2"/>
  <c r="AG142" i="2"/>
  <c r="AG141" i="2"/>
  <c r="AG140" i="2"/>
  <c r="AG139" i="2"/>
  <c r="AG138" i="2"/>
  <c r="AG137" i="2"/>
  <c r="AG135" i="2"/>
  <c r="AG132" i="2"/>
  <c r="AB144" i="2"/>
  <c r="AB143" i="2"/>
  <c r="AB142" i="2"/>
  <c r="AB141" i="2"/>
  <c r="AB140" i="2"/>
  <c r="AB139" i="2"/>
  <c r="AB138" i="2"/>
  <c r="AB137" i="2"/>
  <c r="AB135" i="2"/>
  <c r="AB132" i="2"/>
  <c r="AI198" i="2"/>
  <c r="AD198" i="2"/>
  <c r="Y198" i="2"/>
  <c r="T198" i="2"/>
  <c r="O198" i="2"/>
  <c r="J198" i="2"/>
  <c r="I198" i="2"/>
  <c r="H198" i="2"/>
  <c r="G198" i="2"/>
  <c r="F198" i="2"/>
  <c r="AI171" i="2"/>
  <c r="AH171" i="2"/>
  <c r="I171" i="2" s="1"/>
  <c r="Y171" i="2"/>
  <c r="T171" i="2"/>
  <c r="O171" i="2"/>
  <c r="J171" i="2"/>
  <c r="H171" i="2"/>
  <c r="G171" i="2"/>
  <c r="F171" i="2"/>
  <c r="AL181" i="2"/>
  <c r="AG181" i="2"/>
  <c r="AB181" i="2"/>
  <c r="K186" i="2"/>
  <c r="L186" i="2"/>
  <c r="M186" i="2"/>
  <c r="N186" i="2"/>
  <c r="P186" i="2"/>
  <c r="Q186" i="2"/>
  <c r="R186" i="2"/>
  <c r="S186" i="2"/>
  <c r="U186" i="2"/>
  <c r="V186" i="2"/>
  <c r="W186" i="2"/>
  <c r="X186" i="2"/>
  <c r="Z186" i="2"/>
  <c r="AA186" i="2"/>
  <c r="AB186" i="2"/>
  <c r="AC186" i="2"/>
  <c r="AE186" i="2"/>
  <c r="AF186" i="2"/>
  <c r="AG186" i="2"/>
  <c r="AH186" i="2"/>
  <c r="AJ186" i="2"/>
  <c r="AK186" i="2"/>
  <c r="AL186" i="2"/>
  <c r="AM186" i="2"/>
  <c r="F188" i="2"/>
  <c r="G188" i="2"/>
  <c r="H188" i="2"/>
  <c r="I188" i="2"/>
  <c r="J188" i="2"/>
  <c r="O188" i="2"/>
  <c r="T188" i="2"/>
  <c r="Y188" i="2"/>
  <c r="AD188" i="2"/>
  <c r="AI188" i="2"/>
  <c r="H278" i="2" l="1"/>
  <c r="AD171" i="2"/>
  <c r="E198" i="2"/>
  <c r="E485" i="2"/>
  <c r="E484" i="2"/>
  <c r="E278" i="2"/>
  <c r="E486" i="2"/>
  <c r="E420" i="2"/>
  <c r="H277" i="2"/>
  <c r="E277" i="2" s="1"/>
  <c r="E199" i="2"/>
  <c r="E171" i="2"/>
  <c r="E188" i="2"/>
  <c r="AI276" i="2" l="1"/>
  <c r="AD276" i="2"/>
  <c r="Y276" i="2"/>
  <c r="W276" i="2"/>
  <c r="H276" i="2" s="1"/>
  <c r="O276" i="2"/>
  <c r="J276" i="2"/>
  <c r="I276" i="2"/>
  <c r="G276" i="2"/>
  <c r="F276" i="2"/>
  <c r="AI275" i="2"/>
  <c r="AD275" i="2"/>
  <c r="Y275" i="2"/>
  <c r="W275" i="2"/>
  <c r="T275" i="2" s="1"/>
  <c r="O275" i="2"/>
  <c r="J275" i="2"/>
  <c r="I275" i="2"/>
  <c r="G275" i="2"/>
  <c r="F275" i="2"/>
  <c r="AI303" i="2"/>
  <c r="AD303" i="2"/>
  <c r="Y303" i="2"/>
  <c r="T303" i="2"/>
  <c r="O303" i="2"/>
  <c r="J303" i="2"/>
  <c r="I303" i="2"/>
  <c r="H303" i="2"/>
  <c r="G303" i="2"/>
  <c r="F303" i="2"/>
  <c r="AD233" i="2"/>
  <c r="AI217" i="2"/>
  <c r="AD217" i="2"/>
  <c r="Y217" i="2"/>
  <c r="T217" i="2"/>
  <c r="O217" i="2"/>
  <c r="J217" i="2"/>
  <c r="I217" i="2"/>
  <c r="H217" i="2"/>
  <c r="G217" i="2"/>
  <c r="F217" i="2"/>
  <c r="AI218" i="2"/>
  <c r="AD218" i="2"/>
  <c r="Y218" i="2"/>
  <c r="T218" i="2"/>
  <c r="O218" i="2"/>
  <c r="J218" i="2"/>
  <c r="I218" i="2"/>
  <c r="H218" i="2"/>
  <c r="G218" i="2"/>
  <c r="F218" i="2"/>
  <c r="AI170" i="2"/>
  <c r="AH170" i="2"/>
  <c r="I170" i="2" s="1"/>
  <c r="Y170" i="2"/>
  <c r="T170" i="2"/>
  <c r="O170" i="2"/>
  <c r="J170" i="2"/>
  <c r="H170" i="2"/>
  <c r="G170" i="2"/>
  <c r="F170" i="2"/>
  <c r="AI169" i="2"/>
  <c r="AH169" i="2"/>
  <c r="I169" i="2" s="1"/>
  <c r="Y169" i="2"/>
  <c r="T169" i="2"/>
  <c r="O169" i="2"/>
  <c r="J169" i="2"/>
  <c r="H169" i="2"/>
  <c r="G169" i="2"/>
  <c r="F169" i="2"/>
  <c r="AI168" i="2"/>
  <c r="AH168" i="2"/>
  <c r="I168" i="2" s="1"/>
  <c r="Y168" i="2"/>
  <c r="T168" i="2"/>
  <c r="O168" i="2"/>
  <c r="J168" i="2"/>
  <c r="H168" i="2"/>
  <c r="G168" i="2"/>
  <c r="F168" i="2"/>
  <c r="AI167" i="2"/>
  <c r="AH167" i="2"/>
  <c r="AD167" i="2" s="1"/>
  <c r="Y167" i="2"/>
  <c r="T167" i="2"/>
  <c r="O167" i="2"/>
  <c r="J167" i="2"/>
  <c r="H167" i="2"/>
  <c r="G167" i="2"/>
  <c r="F167" i="2"/>
  <c r="AI197" i="2"/>
  <c r="AD197" i="2"/>
  <c r="Y197" i="2"/>
  <c r="T197" i="2"/>
  <c r="O197" i="2"/>
  <c r="J197" i="2"/>
  <c r="I197" i="2"/>
  <c r="H197" i="2"/>
  <c r="G197" i="2"/>
  <c r="F197" i="2"/>
  <c r="E276" i="2" l="1"/>
  <c r="T276" i="2"/>
  <c r="H275" i="2"/>
  <c r="E275" i="2" s="1"/>
  <c r="E303" i="2"/>
  <c r="AD169" i="2"/>
  <c r="AD170" i="2"/>
  <c r="E197" i="2"/>
  <c r="E217" i="2"/>
  <c r="E218" i="2"/>
  <c r="AD168" i="2"/>
  <c r="E169" i="2"/>
  <c r="E170" i="2"/>
  <c r="E168" i="2"/>
  <c r="I167" i="2"/>
  <c r="E167" i="2" s="1"/>
  <c r="AI154" i="2" l="1"/>
  <c r="AD154" i="2"/>
  <c r="Y154" i="2"/>
  <c r="T154" i="2"/>
  <c r="O154" i="2"/>
  <c r="J154" i="2"/>
  <c r="I154" i="2"/>
  <c r="H154" i="2"/>
  <c r="G154" i="2"/>
  <c r="F154" i="2"/>
  <c r="K421" i="2"/>
  <c r="L421" i="2"/>
  <c r="M421" i="2"/>
  <c r="N421" i="2"/>
  <c r="P421" i="2"/>
  <c r="Q421" i="2"/>
  <c r="R421" i="2"/>
  <c r="S421" i="2"/>
  <c r="U421" i="2"/>
  <c r="V421" i="2"/>
  <c r="W421" i="2"/>
  <c r="X421" i="2"/>
  <c r="Z421" i="2"/>
  <c r="AA421" i="2"/>
  <c r="AB421" i="2"/>
  <c r="AC421" i="2"/>
  <c r="AE421" i="2"/>
  <c r="AF421" i="2"/>
  <c r="AG421" i="2"/>
  <c r="AH421" i="2"/>
  <c r="AJ421" i="2"/>
  <c r="AK421" i="2"/>
  <c r="AL421" i="2"/>
  <c r="AM421" i="2"/>
  <c r="AI423" i="2"/>
  <c r="AD423" i="2"/>
  <c r="Y423" i="2"/>
  <c r="T423" i="2"/>
  <c r="O423" i="2"/>
  <c r="J423" i="2"/>
  <c r="I423" i="2"/>
  <c r="H423" i="2"/>
  <c r="G423" i="2"/>
  <c r="F423" i="2"/>
  <c r="K433" i="2"/>
  <c r="L433" i="2"/>
  <c r="M433" i="2"/>
  <c r="N433" i="2"/>
  <c r="P433" i="2"/>
  <c r="Q433" i="2"/>
  <c r="R433" i="2"/>
  <c r="S433" i="2"/>
  <c r="U433" i="2"/>
  <c r="V433" i="2"/>
  <c r="W433" i="2"/>
  <c r="X433" i="2"/>
  <c r="Z433" i="2"/>
  <c r="AA433" i="2"/>
  <c r="AB433" i="2"/>
  <c r="AC433" i="2"/>
  <c r="AE433" i="2"/>
  <c r="AF433" i="2"/>
  <c r="AG433" i="2"/>
  <c r="AH433" i="2"/>
  <c r="AJ433" i="2"/>
  <c r="AK433" i="2"/>
  <c r="AL433" i="2"/>
  <c r="AM433" i="2"/>
  <c r="AI437" i="2"/>
  <c r="AD437" i="2"/>
  <c r="Y437" i="2"/>
  <c r="T437" i="2"/>
  <c r="O437" i="2"/>
  <c r="J437" i="2"/>
  <c r="H437" i="2"/>
  <c r="G437" i="2"/>
  <c r="F437" i="2"/>
  <c r="Y407" i="2"/>
  <c r="AD407" i="2"/>
  <c r="AI407" i="2"/>
  <c r="Y408" i="2"/>
  <c r="AD408" i="2"/>
  <c r="AI408" i="2"/>
  <c r="AI506" i="2"/>
  <c r="AI505" i="2" s="1"/>
  <c r="AI496" i="2" s="1"/>
  <c r="AD506" i="2"/>
  <c r="Y506" i="2"/>
  <c r="T506" i="2"/>
  <c r="T505" i="2" s="1"/>
  <c r="T496" i="2" s="1"/>
  <c r="O506" i="2"/>
  <c r="O505" i="2" s="1"/>
  <c r="O496" i="2" s="1"/>
  <c r="J506" i="2"/>
  <c r="J505" i="2" s="1"/>
  <c r="J496" i="2" s="1"/>
  <c r="I506" i="2"/>
  <c r="H506" i="2"/>
  <c r="G506" i="2"/>
  <c r="F506" i="2"/>
  <c r="F505" i="2" s="1"/>
  <c r="F496" i="2" s="1"/>
  <c r="Y164" i="2"/>
  <c r="AH164" i="2"/>
  <c r="I164" i="2" s="1"/>
  <c r="AI164" i="2"/>
  <c r="Y165" i="2"/>
  <c r="AH165" i="2"/>
  <c r="AD165" i="2" s="1"/>
  <c r="AI165" i="2"/>
  <c r="Y166" i="2"/>
  <c r="AH166" i="2"/>
  <c r="I166" i="2" s="1"/>
  <c r="AI166" i="2"/>
  <c r="O166" i="2"/>
  <c r="O165" i="2"/>
  <c r="O164" i="2"/>
  <c r="F165" i="2"/>
  <c r="G165" i="2"/>
  <c r="F166" i="2"/>
  <c r="G166" i="2"/>
  <c r="H166" i="2"/>
  <c r="J164" i="2"/>
  <c r="J165" i="2"/>
  <c r="J166" i="2"/>
  <c r="T166" i="2"/>
  <c r="Y505" i="2" l="1"/>
  <c r="Y496" i="2" s="1"/>
  <c r="AD505" i="2"/>
  <c r="AD496" i="2" s="1"/>
  <c r="G505" i="2"/>
  <c r="G496" i="2" s="1"/>
  <c r="I505" i="2"/>
  <c r="I496" i="2" s="1"/>
  <c r="H505" i="2"/>
  <c r="H496" i="2" s="1"/>
  <c r="E423" i="2"/>
  <c r="E154" i="2"/>
  <c r="E437" i="2"/>
  <c r="E506" i="2"/>
  <c r="I165" i="2"/>
  <c r="AD166" i="2"/>
  <c r="AD164" i="2"/>
  <c r="E166" i="2"/>
  <c r="AI483" i="2"/>
  <c r="AD483" i="2"/>
  <c r="Y483" i="2"/>
  <c r="AI482" i="2"/>
  <c r="AD482" i="2"/>
  <c r="Y482" i="2"/>
  <c r="AI481" i="2"/>
  <c r="AD481" i="2"/>
  <c r="Y481" i="2"/>
  <c r="AI480" i="2"/>
  <c r="AD480" i="2"/>
  <c r="Y480" i="2"/>
  <c r="AI479" i="2"/>
  <c r="AD479" i="2"/>
  <c r="Y479" i="2"/>
  <c r="O480" i="2"/>
  <c r="J480" i="2"/>
  <c r="AI290" i="2"/>
  <c r="AD290" i="2"/>
  <c r="Y290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Y237" i="2"/>
  <c r="AM236" i="2"/>
  <c r="AL236" i="2"/>
  <c r="AK236" i="2"/>
  <c r="AJ236" i="2"/>
  <c r="AH236" i="2"/>
  <c r="AG236" i="2"/>
  <c r="AF236" i="2"/>
  <c r="AE236" i="2"/>
  <c r="Y236" i="2"/>
  <c r="O237" i="2"/>
  <c r="J237" i="2"/>
  <c r="O236" i="2"/>
  <c r="J236" i="2"/>
  <c r="AI207" i="2"/>
  <c r="AD207" i="2"/>
  <c r="Y207" i="2"/>
  <c r="O207" i="2"/>
  <c r="J207" i="2"/>
  <c r="I207" i="2"/>
  <c r="E505" i="2" l="1"/>
  <c r="E496" i="2" s="1"/>
  <c r="Y260" i="2"/>
  <c r="G76" i="4" l="1"/>
  <c r="F60" i="2" l="1"/>
  <c r="G60" i="2"/>
  <c r="F61" i="2"/>
  <c r="G61" i="2"/>
  <c r="F62" i="2"/>
  <c r="G62" i="2"/>
  <c r="F63" i="2"/>
  <c r="G63" i="2"/>
  <c r="F64" i="2"/>
  <c r="G64" i="2"/>
  <c r="F65" i="2"/>
  <c r="G65" i="2"/>
  <c r="F66" i="2"/>
  <c r="G66" i="2"/>
  <c r="F67" i="2"/>
  <c r="G67" i="2"/>
  <c r="F68" i="2"/>
  <c r="G68" i="2"/>
  <c r="F69" i="2"/>
  <c r="G69" i="2"/>
  <c r="F70" i="2"/>
  <c r="G70" i="2"/>
  <c r="F71" i="2"/>
  <c r="G71" i="2"/>
  <c r="F72" i="2"/>
  <c r="G72" i="2"/>
  <c r="F73" i="2"/>
  <c r="G73" i="2"/>
  <c r="F74" i="2"/>
  <c r="G74" i="2"/>
  <c r="F75" i="2"/>
  <c r="G75" i="2"/>
  <c r="F76" i="2"/>
  <c r="G76" i="2"/>
  <c r="I60" i="2"/>
  <c r="J60" i="2"/>
  <c r="I61" i="2"/>
  <c r="J61" i="2"/>
  <c r="I62" i="2"/>
  <c r="J62" i="2"/>
  <c r="I63" i="2"/>
  <c r="J63" i="2"/>
  <c r="I64" i="2"/>
  <c r="J64" i="2"/>
  <c r="I65" i="2"/>
  <c r="J65" i="2"/>
  <c r="I66" i="2"/>
  <c r="J66" i="2"/>
  <c r="I67" i="2"/>
  <c r="J67" i="2"/>
  <c r="I68" i="2"/>
  <c r="J68" i="2"/>
  <c r="I69" i="2"/>
  <c r="J69" i="2"/>
  <c r="I70" i="2"/>
  <c r="J70" i="2"/>
  <c r="I71" i="2"/>
  <c r="J71" i="2"/>
  <c r="I72" i="2"/>
  <c r="J72" i="2"/>
  <c r="I73" i="2"/>
  <c r="J73" i="2"/>
  <c r="I74" i="2"/>
  <c r="J74" i="2"/>
  <c r="I75" i="2"/>
  <c r="J75" i="2"/>
  <c r="I76" i="2"/>
  <c r="J76" i="2"/>
  <c r="AD75" i="2"/>
  <c r="AI75" i="2"/>
  <c r="AI76" i="2"/>
  <c r="AD76" i="2"/>
  <c r="AD60" i="2"/>
  <c r="AI60" i="2"/>
  <c r="AD61" i="2"/>
  <c r="AI61" i="2"/>
  <c r="AD62" i="2"/>
  <c r="AI62" i="2"/>
  <c r="AD63" i="2"/>
  <c r="AI63" i="2"/>
  <c r="AD64" i="2"/>
  <c r="AI64" i="2"/>
  <c r="AD65" i="2"/>
  <c r="AI65" i="2"/>
  <c r="AD66" i="2"/>
  <c r="AI66" i="2"/>
  <c r="AD67" i="2"/>
  <c r="AI67" i="2"/>
  <c r="AD68" i="2"/>
  <c r="AI68" i="2"/>
  <c r="AD69" i="2"/>
  <c r="AI69" i="2"/>
  <c r="AD70" i="2"/>
  <c r="AI70" i="2"/>
  <c r="AD71" i="2"/>
  <c r="AI71" i="2"/>
  <c r="AD72" i="2"/>
  <c r="AI72" i="2"/>
  <c r="AD73" i="2"/>
  <c r="AI73" i="2"/>
  <c r="AD74" i="2"/>
  <c r="AI74" i="2"/>
  <c r="Y76" i="2"/>
  <c r="T76" i="2"/>
  <c r="H76" i="2"/>
  <c r="E76" i="2" s="1"/>
  <c r="W100" i="2" l="1"/>
  <c r="W548" i="2"/>
  <c r="W546" i="2"/>
  <c r="W349" i="2"/>
  <c r="W376" i="2"/>
  <c r="W145" i="2"/>
  <c r="W144" i="2"/>
  <c r="W143" i="2"/>
  <c r="W142" i="2"/>
  <c r="W141" i="2"/>
  <c r="W140" i="2"/>
  <c r="W139" i="2"/>
  <c r="W138" i="2"/>
  <c r="W137" i="2"/>
  <c r="W136" i="2"/>
  <c r="W135" i="2"/>
  <c r="W134" i="2"/>
  <c r="W133" i="2"/>
  <c r="W132" i="2"/>
  <c r="W397" i="2"/>
  <c r="AI301" i="2" l="1"/>
  <c r="AD301" i="2"/>
  <c r="Y301" i="2"/>
  <c r="T301" i="2"/>
  <c r="J301" i="2"/>
  <c r="I301" i="2"/>
  <c r="H301" i="2"/>
  <c r="G301" i="2"/>
  <c r="F301" i="2"/>
  <c r="AI300" i="2"/>
  <c r="AD300" i="2"/>
  <c r="Y300" i="2"/>
  <c r="T300" i="2"/>
  <c r="J300" i="2"/>
  <c r="I300" i="2"/>
  <c r="H300" i="2"/>
  <c r="G300" i="2"/>
  <c r="F300" i="2"/>
  <c r="AI299" i="2"/>
  <c r="AD299" i="2"/>
  <c r="Y299" i="2"/>
  <c r="T299" i="2"/>
  <c r="J299" i="2"/>
  <c r="I299" i="2"/>
  <c r="H299" i="2"/>
  <c r="G299" i="2"/>
  <c r="F299" i="2"/>
  <c r="AI298" i="2"/>
  <c r="AD298" i="2"/>
  <c r="Y298" i="2"/>
  <c r="T298" i="2"/>
  <c r="J298" i="2"/>
  <c r="I298" i="2"/>
  <c r="H298" i="2"/>
  <c r="G298" i="2"/>
  <c r="F298" i="2"/>
  <c r="AI297" i="2"/>
  <c r="AD297" i="2"/>
  <c r="Y297" i="2"/>
  <c r="T297" i="2"/>
  <c r="J297" i="2"/>
  <c r="I297" i="2"/>
  <c r="H297" i="2"/>
  <c r="G297" i="2"/>
  <c r="F297" i="2"/>
  <c r="AI296" i="2"/>
  <c r="AD296" i="2"/>
  <c r="Y296" i="2"/>
  <c r="T296" i="2"/>
  <c r="J296" i="2"/>
  <c r="I296" i="2"/>
  <c r="H296" i="2"/>
  <c r="G296" i="2"/>
  <c r="F296" i="2"/>
  <c r="AI295" i="2"/>
  <c r="AD295" i="2"/>
  <c r="Y295" i="2"/>
  <c r="T295" i="2"/>
  <c r="J295" i="2"/>
  <c r="I295" i="2"/>
  <c r="H295" i="2"/>
  <c r="G295" i="2"/>
  <c r="F295" i="2"/>
  <c r="AI294" i="2"/>
  <c r="AD294" i="2"/>
  <c r="Y294" i="2"/>
  <c r="T294" i="2"/>
  <c r="J294" i="2"/>
  <c r="I294" i="2"/>
  <c r="H294" i="2"/>
  <c r="G294" i="2"/>
  <c r="F294" i="2"/>
  <c r="AI293" i="2"/>
  <c r="AD293" i="2"/>
  <c r="Y293" i="2"/>
  <c r="T293" i="2"/>
  <c r="J293" i="2"/>
  <c r="I293" i="2"/>
  <c r="H293" i="2"/>
  <c r="G293" i="2"/>
  <c r="F293" i="2"/>
  <c r="AI292" i="2"/>
  <c r="AD292" i="2"/>
  <c r="Y292" i="2"/>
  <c r="T292" i="2"/>
  <c r="J292" i="2"/>
  <c r="I292" i="2"/>
  <c r="H292" i="2"/>
  <c r="G292" i="2"/>
  <c r="F292" i="2"/>
  <c r="AI291" i="2"/>
  <c r="AD291" i="2"/>
  <c r="Y291" i="2"/>
  <c r="T291" i="2"/>
  <c r="J291" i="2"/>
  <c r="I291" i="2"/>
  <c r="H291" i="2"/>
  <c r="G291" i="2"/>
  <c r="F291" i="2"/>
  <c r="E300" i="2" l="1"/>
  <c r="E295" i="2"/>
  <c r="E296" i="2"/>
  <c r="E299" i="2"/>
  <c r="E292" i="2"/>
  <c r="E291" i="2"/>
  <c r="E301" i="2"/>
  <c r="E298" i="2"/>
  <c r="E294" i="2"/>
  <c r="E293" i="2"/>
  <c r="E297" i="2"/>
  <c r="X228" i="2" l="1"/>
  <c r="X221" i="2" s="1"/>
  <c r="W228" i="2"/>
  <c r="W317" i="2"/>
  <c r="W324" i="2"/>
  <c r="W260" i="2"/>
  <c r="W237" i="2"/>
  <c r="W182" i="2"/>
  <c r="W62" i="2"/>
  <c r="W61" i="2"/>
  <c r="K100" i="2" l="1"/>
  <c r="L100" i="2"/>
  <c r="M100" i="2"/>
  <c r="N100" i="2"/>
  <c r="P100" i="2"/>
  <c r="Q100" i="2"/>
  <c r="S100" i="2"/>
  <c r="U100" i="2"/>
  <c r="V100" i="2"/>
  <c r="X100" i="2"/>
  <c r="Z100" i="2"/>
  <c r="AA100" i="2"/>
  <c r="AB100" i="2"/>
  <c r="AC100" i="2"/>
  <c r="AE100" i="2"/>
  <c r="AF100" i="2"/>
  <c r="AG100" i="2"/>
  <c r="AH100" i="2"/>
  <c r="AJ100" i="2"/>
  <c r="AK100" i="2"/>
  <c r="AL100" i="2"/>
  <c r="AM100" i="2"/>
  <c r="T108" i="2"/>
  <c r="J108" i="2"/>
  <c r="I108" i="2"/>
  <c r="H108" i="2"/>
  <c r="E108" i="2" s="1"/>
  <c r="G108" i="2"/>
  <c r="F108" i="2"/>
  <c r="W92" i="2" l="1"/>
  <c r="G109" i="4" l="1"/>
  <c r="G110" i="4"/>
  <c r="W361" i="2"/>
  <c r="K403" i="2"/>
  <c r="L403" i="2"/>
  <c r="M403" i="2"/>
  <c r="N403" i="2"/>
  <c r="P403" i="2"/>
  <c r="Q403" i="2"/>
  <c r="R403" i="2"/>
  <c r="S403" i="2"/>
  <c r="U403" i="2"/>
  <c r="V403" i="2"/>
  <c r="W403" i="2"/>
  <c r="X403" i="2"/>
  <c r="Z403" i="2"/>
  <c r="AA403" i="2"/>
  <c r="AB403" i="2"/>
  <c r="AC403" i="2"/>
  <c r="AE403" i="2"/>
  <c r="AF403" i="2"/>
  <c r="AG403" i="2"/>
  <c r="AH403" i="2"/>
  <c r="AJ403" i="2"/>
  <c r="AK403" i="2"/>
  <c r="AL403" i="2"/>
  <c r="AM403" i="2"/>
  <c r="T408" i="2"/>
  <c r="O408" i="2"/>
  <c r="J408" i="2"/>
  <c r="I408" i="2"/>
  <c r="H408" i="2"/>
  <c r="G408" i="2"/>
  <c r="F408" i="2"/>
  <c r="W371" i="2"/>
  <c r="T483" i="2"/>
  <c r="O483" i="2"/>
  <c r="J483" i="2"/>
  <c r="I483" i="2"/>
  <c r="H483" i="2"/>
  <c r="G483" i="2"/>
  <c r="F483" i="2"/>
  <c r="T482" i="2"/>
  <c r="O482" i="2"/>
  <c r="J482" i="2"/>
  <c r="I482" i="2"/>
  <c r="H482" i="2"/>
  <c r="G482" i="2"/>
  <c r="F482" i="2"/>
  <c r="W478" i="2"/>
  <c r="W464" i="2" s="1"/>
  <c r="T237" i="2"/>
  <c r="F237" i="2"/>
  <c r="AI187" i="2"/>
  <c r="AI186" i="2" s="1"/>
  <c r="AD187" i="2"/>
  <c r="AD186" i="2" s="1"/>
  <c r="Y187" i="2"/>
  <c r="Y186" i="2" s="1"/>
  <c r="T187" i="2"/>
  <c r="T186" i="2" s="1"/>
  <c r="O187" i="2"/>
  <c r="O186" i="2" s="1"/>
  <c r="J187" i="2"/>
  <c r="J186" i="2" s="1"/>
  <c r="I187" i="2"/>
  <c r="I186" i="2" s="1"/>
  <c r="H187" i="2"/>
  <c r="H186" i="2" s="1"/>
  <c r="G187" i="2"/>
  <c r="G186" i="2" s="1"/>
  <c r="F187" i="2"/>
  <c r="F186" i="2" s="1"/>
  <c r="W165" i="2"/>
  <c r="W156" i="2" s="1"/>
  <c r="H165" i="2" l="1"/>
  <c r="E165" i="2" s="1"/>
  <c r="E408" i="2"/>
  <c r="E483" i="2"/>
  <c r="E482" i="2"/>
  <c r="E187" i="2"/>
  <c r="E186" i="2" s="1"/>
  <c r="K11" i="2" l="1"/>
  <c r="L11" i="2"/>
  <c r="N11" i="2"/>
  <c r="P11" i="2"/>
  <c r="Q11" i="2"/>
  <c r="S11" i="2"/>
  <c r="U11" i="2"/>
  <c r="V11" i="2"/>
  <c r="W11" i="2"/>
  <c r="X11" i="2"/>
  <c r="Z11" i="2"/>
  <c r="AA11" i="2"/>
  <c r="AC11" i="2"/>
  <c r="AE11" i="2"/>
  <c r="AF11" i="2"/>
  <c r="AG11" i="2"/>
  <c r="AH11" i="2"/>
  <c r="AJ11" i="2"/>
  <c r="AK11" i="2"/>
  <c r="AL11" i="2"/>
  <c r="AM11" i="2"/>
  <c r="Y70" i="2"/>
  <c r="Y71" i="2"/>
  <c r="Y72" i="2"/>
  <c r="Y73" i="2"/>
  <c r="Y74" i="2"/>
  <c r="Y75" i="2"/>
  <c r="Y65" i="2"/>
  <c r="Y66" i="2"/>
  <c r="Y67" i="2"/>
  <c r="Y68" i="2"/>
  <c r="Y69" i="2"/>
  <c r="Y60" i="2"/>
  <c r="Y61" i="2"/>
  <c r="Y62" i="2"/>
  <c r="Y63" i="2"/>
  <c r="Y64" i="2"/>
  <c r="Y77" i="2"/>
  <c r="Y79" i="2"/>
  <c r="Y80" i="2"/>
  <c r="Y81" i="2"/>
  <c r="Y82" i="2"/>
  <c r="Y83" i="2"/>
  <c r="T75" i="2"/>
  <c r="H75" i="2"/>
  <c r="E75" i="2" s="1"/>
  <c r="T74" i="2"/>
  <c r="H74" i="2"/>
  <c r="E74" i="2" s="1"/>
  <c r="W111" i="2"/>
  <c r="K78" i="2"/>
  <c r="L78" i="2"/>
  <c r="N78" i="2"/>
  <c r="P78" i="2"/>
  <c r="Q78" i="2"/>
  <c r="S78" i="2"/>
  <c r="U78" i="2"/>
  <c r="V78" i="2"/>
  <c r="W78" i="2"/>
  <c r="X78" i="2"/>
  <c r="Z78" i="2"/>
  <c r="AA78" i="2"/>
  <c r="AB78" i="2"/>
  <c r="AC78" i="2"/>
  <c r="AE78" i="2"/>
  <c r="AF78" i="2"/>
  <c r="AG78" i="2"/>
  <c r="AH78" i="2"/>
  <c r="AJ78" i="2"/>
  <c r="AK78" i="2"/>
  <c r="AL78" i="2"/>
  <c r="AM78" i="2"/>
  <c r="T89" i="2"/>
  <c r="H89" i="2"/>
  <c r="G89" i="2"/>
  <c r="F89" i="2"/>
  <c r="T87" i="2"/>
  <c r="H87" i="2"/>
  <c r="G87" i="2"/>
  <c r="F87" i="2"/>
  <c r="T88" i="2"/>
  <c r="H88" i="2"/>
  <c r="G88" i="2"/>
  <c r="F88" i="2"/>
  <c r="T73" i="2"/>
  <c r="H73" i="2"/>
  <c r="E73" i="2"/>
  <c r="W54" i="2"/>
  <c r="W51" i="2"/>
  <c r="W67" i="2"/>
  <c r="T72" i="2"/>
  <c r="H72" i="2"/>
  <c r="E72" i="2" s="1"/>
  <c r="Y23" i="2"/>
  <c r="T23" i="2"/>
  <c r="O23" i="2"/>
  <c r="J23" i="2"/>
  <c r="I23" i="2"/>
  <c r="H23" i="2"/>
  <c r="G23" i="2"/>
  <c r="F23" i="2"/>
  <c r="T71" i="2"/>
  <c r="H71" i="2"/>
  <c r="E71" i="2"/>
  <c r="T86" i="2"/>
  <c r="H86" i="2"/>
  <c r="G86" i="2"/>
  <c r="F86" i="2"/>
  <c r="E86" i="2" l="1"/>
  <c r="E23" i="2"/>
  <c r="E87" i="2"/>
  <c r="E88" i="2"/>
  <c r="Y78" i="2"/>
  <c r="E89" i="2"/>
  <c r="T85" i="2" l="1"/>
  <c r="H85" i="2"/>
  <c r="G85" i="2"/>
  <c r="F85" i="2"/>
  <c r="E85" i="2" l="1"/>
  <c r="F548" i="2"/>
  <c r="G548" i="2"/>
  <c r="H548" i="2"/>
  <c r="I548" i="2"/>
  <c r="J548" i="2"/>
  <c r="O548" i="2"/>
  <c r="T548" i="2"/>
  <c r="Y548" i="2"/>
  <c r="AD548" i="2"/>
  <c r="AI548" i="2"/>
  <c r="K553" i="2"/>
  <c r="L553" i="2"/>
  <c r="M553" i="2"/>
  <c r="N553" i="2"/>
  <c r="P553" i="2"/>
  <c r="Q553" i="2"/>
  <c r="R553" i="2"/>
  <c r="S553" i="2"/>
  <c r="U553" i="2"/>
  <c r="V553" i="2"/>
  <c r="W553" i="2"/>
  <c r="X553" i="2"/>
  <c r="Z553" i="2"/>
  <c r="AA553" i="2"/>
  <c r="AB553" i="2"/>
  <c r="AC553" i="2"/>
  <c r="AE553" i="2"/>
  <c r="AF553" i="2"/>
  <c r="AG553" i="2"/>
  <c r="AH553" i="2"/>
  <c r="AJ553" i="2"/>
  <c r="AK553" i="2"/>
  <c r="AL553" i="2"/>
  <c r="AM553" i="2"/>
  <c r="G554" i="2"/>
  <c r="G556" i="2"/>
  <c r="AI556" i="2"/>
  <c r="AD556" i="2"/>
  <c r="Y556" i="2"/>
  <c r="O556" i="2"/>
  <c r="J556" i="2"/>
  <c r="I556" i="2"/>
  <c r="H556" i="2"/>
  <c r="F556" i="2"/>
  <c r="AI555" i="2"/>
  <c r="AD555" i="2"/>
  <c r="Y555" i="2"/>
  <c r="O555" i="2"/>
  <c r="J555" i="2"/>
  <c r="I555" i="2"/>
  <c r="H555" i="2"/>
  <c r="F555" i="2"/>
  <c r="K549" i="2"/>
  <c r="K547" i="2" s="1"/>
  <c r="L549" i="2"/>
  <c r="L547" i="2" s="1"/>
  <c r="M549" i="2"/>
  <c r="M547" i="2" s="1"/>
  <c r="N549" i="2"/>
  <c r="N547" i="2" s="1"/>
  <c r="P549" i="2"/>
  <c r="P547" i="2" s="1"/>
  <c r="Q549" i="2"/>
  <c r="Q547" i="2" s="1"/>
  <c r="R549" i="2"/>
  <c r="R547" i="2" s="1"/>
  <c r="S549" i="2"/>
  <c r="S547" i="2" s="1"/>
  <c r="U549" i="2"/>
  <c r="U547" i="2" s="1"/>
  <c r="V549" i="2"/>
  <c r="V547" i="2" s="1"/>
  <c r="W549" i="2"/>
  <c r="W547" i="2" s="1"/>
  <c r="X549" i="2"/>
  <c r="X547" i="2" s="1"/>
  <c r="Z549" i="2"/>
  <c r="Z547" i="2" s="1"/>
  <c r="AA549" i="2"/>
  <c r="AA547" i="2" s="1"/>
  <c r="AB549" i="2"/>
  <c r="AB547" i="2" s="1"/>
  <c r="AC549" i="2"/>
  <c r="AC547" i="2" s="1"/>
  <c r="AE549" i="2"/>
  <c r="AE547" i="2" s="1"/>
  <c r="AF549" i="2"/>
  <c r="AF547" i="2" s="1"/>
  <c r="AG549" i="2"/>
  <c r="AG547" i="2" s="1"/>
  <c r="AH549" i="2"/>
  <c r="AH547" i="2" s="1"/>
  <c r="AJ549" i="2"/>
  <c r="AJ547" i="2" s="1"/>
  <c r="AK549" i="2"/>
  <c r="AK547" i="2" s="1"/>
  <c r="AL549" i="2"/>
  <c r="AL547" i="2" s="1"/>
  <c r="AM549" i="2"/>
  <c r="AM547" i="2" s="1"/>
  <c r="AI552" i="2"/>
  <c r="AD552" i="2"/>
  <c r="Y552" i="2"/>
  <c r="T552" i="2"/>
  <c r="O552" i="2"/>
  <c r="J552" i="2"/>
  <c r="I552" i="2"/>
  <c r="H552" i="2"/>
  <c r="G552" i="2"/>
  <c r="F552" i="2"/>
  <c r="AI551" i="2"/>
  <c r="AD551" i="2"/>
  <c r="Y551" i="2"/>
  <c r="T551" i="2"/>
  <c r="O551" i="2"/>
  <c r="J551" i="2"/>
  <c r="I551" i="2"/>
  <c r="H551" i="2"/>
  <c r="G551" i="2"/>
  <c r="F551" i="2"/>
  <c r="AI550" i="2"/>
  <c r="AD550" i="2"/>
  <c r="Y550" i="2"/>
  <c r="T550" i="2"/>
  <c r="O550" i="2"/>
  <c r="J550" i="2"/>
  <c r="I550" i="2"/>
  <c r="H550" i="2"/>
  <c r="G550" i="2"/>
  <c r="F550" i="2"/>
  <c r="E551" i="2" l="1"/>
  <c r="AI549" i="2"/>
  <c r="AI547" i="2" s="1"/>
  <c r="H549" i="2"/>
  <c r="H547" i="2" s="1"/>
  <c r="Y549" i="2"/>
  <c r="Y547" i="2" s="1"/>
  <c r="E548" i="2"/>
  <c r="J549" i="2"/>
  <c r="J547" i="2" s="1"/>
  <c r="I549" i="2"/>
  <c r="I547" i="2" s="1"/>
  <c r="E550" i="2"/>
  <c r="T549" i="2"/>
  <c r="T547" i="2" s="1"/>
  <c r="O549" i="2"/>
  <c r="O547" i="2" s="1"/>
  <c r="F549" i="2"/>
  <c r="F547" i="2" s="1"/>
  <c r="AD549" i="2"/>
  <c r="AD547" i="2" s="1"/>
  <c r="T556" i="2"/>
  <c r="E552" i="2"/>
  <c r="G549" i="2"/>
  <c r="G547" i="2" s="1"/>
  <c r="E556" i="2"/>
  <c r="E549" i="2" l="1"/>
  <c r="E547" i="2" s="1"/>
  <c r="G555" i="2"/>
  <c r="T555" i="2"/>
  <c r="K90" i="2"/>
  <c r="L90" i="2"/>
  <c r="N90" i="2"/>
  <c r="P90" i="2"/>
  <c r="Q90" i="2"/>
  <c r="R90" i="2"/>
  <c r="S90" i="2"/>
  <c r="U90" i="2"/>
  <c r="V90" i="2"/>
  <c r="W90" i="2"/>
  <c r="X90" i="2"/>
  <c r="Z90" i="2"/>
  <c r="AA90" i="2"/>
  <c r="AB90" i="2"/>
  <c r="AC90" i="2"/>
  <c r="AE90" i="2"/>
  <c r="AF90" i="2"/>
  <c r="AG90" i="2"/>
  <c r="AH90" i="2"/>
  <c r="AJ90" i="2"/>
  <c r="AK90" i="2"/>
  <c r="AL90" i="2"/>
  <c r="AM90" i="2"/>
  <c r="G553" i="2" l="1"/>
  <c r="E555" i="2"/>
  <c r="W514" i="2" l="1"/>
  <c r="AG542" i="2"/>
  <c r="AG538" i="2"/>
  <c r="AG533" i="2"/>
  <c r="AI554" i="2"/>
  <c r="AI553" i="2" s="1"/>
  <c r="AD554" i="2"/>
  <c r="AD553" i="2" s="1"/>
  <c r="Y554" i="2"/>
  <c r="Y553" i="2" s="1"/>
  <c r="O554" i="2"/>
  <c r="O553" i="2" s="1"/>
  <c r="J554" i="2"/>
  <c r="J553" i="2" s="1"/>
  <c r="T554" i="2" l="1"/>
  <c r="T553" i="2" s="1"/>
  <c r="Y21" i="2"/>
  <c r="Y22" i="2"/>
  <c r="O21" i="2"/>
  <c r="O22" i="2"/>
  <c r="J21" i="2"/>
  <c r="J22" i="2"/>
  <c r="I21" i="2"/>
  <c r="I22" i="2"/>
  <c r="H22" i="2"/>
  <c r="G22" i="2"/>
  <c r="F22" i="2"/>
  <c r="E22" i="2" l="1"/>
  <c r="AB11" i="2"/>
  <c r="T22" i="2"/>
  <c r="I554" i="2"/>
  <c r="I553" i="2" s="1"/>
  <c r="H554" i="2"/>
  <c r="H553" i="2" s="1"/>
  <c r="F554" i="2"/>
  <c r="W264" i="2"/>
  <c r="W252" i="2" s="1"/>
  <c r="I236" i="2"/>
  <c r="H236" i="2"/>
  <c r="G236" i="2"/>
  <c r="F236" i="2"/>
  <c r="T236" i="2"/>
  <c r="W194" i="2"/>
  <c r="W189" i="2" s="1"/>
  <c r="H164" i="2"/>
  <c r="G164" i="2"/>
  <c r="F164" i="2"/>
  <c r="T164" i="2"/>
  <c r="W152" i="2"/>
  <c r="W148" i="2" s="1"/>
  <c r="W115" i="2"/>
  <c r="T92" i="2"/>
  <c r="H92" i="2"/>
  <c r="E92" i="2" s="1"/>
  <c r="E164" i="2" l="1"/>
  <c r="F553" i="2"/>
  <c r="E554" i="2"/>
  <c r="E553" i="2" s="1"/>
  <c r="E236" i="2"/>
  <c r="T107" i="2"/>
  <c r="H107" i="2"/>
  <c r="E107" i="2" s="1"/>
  <c r="F84" i="2"/>
  <c r="G84" i="2"/>
  <c r="H84" i="2"/>
  <c r="T84" i="2"/>
  <c r="T62" i="2"/>
  <c r="T63" i="2"/>
  <c r="T64" i="2"/>
  <c r="T65" i="2"/>
  <c r="T66" i="2"/>
  <c r="T67" i="2"/>
  <c r="T68" i="2"/>
  <c r="T69" i="2"/>
  <c r="T70" i="2"/>
  <c r="T61" i="2"/>
  <c r="H70" i="2"/>
  <c r="E70" i="2" s="1"/>
  <c r="H69" i="2"/>
  <c r="E69" i="2" s="1"/>
  <c r="H68" i="2"/>
  <c r="E68" i="2" s="1"/>
  <c r="H67" i="2"/>
  <c r="E67" i="2" s="1"/>
  <c r="H66" i="2"/>
  <c r="E66" i="2" s="1"/>
  <c r="H65" i="2"/>
  <c r="E65" i="2" s="1"/>
  <c r="H64" i="2"/>
  <c r="E64" i="2" s="1"/>
  <c r="H63" i="2"/>
  <c r="E63" i="2" s="1"/>
  <c r="H62" i="2"/>
  <c r="E62" i="2" s="1"/>
  <c r="H61" i="2"/>
  <c r="E61" i="2" s="1"/>
  <c r="H60" i="2"/>
  <c r="E60" i="2" s="1"/>
  <c r="T60" i="2"/>
  <c r="W77" i="2"/>
  <c r="W24" i="2" s="1"/>
  <c r="E84" i="2" l="1"/>
  <c r="K244" i="2" l="1"/>
  <c r="L244" i="2"/>
  <c r="M244" i="2"/>
  <c r="N244" i="2"/>
  <c r="P244" i="2"/>
  <c r="Q244" i="2"/>
  <c r="U244" i="2"/>
  <c r="V244" i="2"/>
  <c r="X244" i="2"/>
  <c r="Z244" i="2"/>
  <c r="AB244" i="2"/>
  <c r="AC244" i="2"/>
  <c r="AE244" i="2"/>
  <c r="AF244" i="2"/>
  <c r="AG244" i="2"/>
  <c r="AH244" i="2"/>
  <c r="AJ244" i="2"/>
  <c r="AK244" i="2"/>
  <c r="AL244" i="2"/>
  <c r="AM244" i="2"/>
  <c r="AD83" i="2" l="1"/>
  <c r="AI83" i="2"/>
  <c r="O83" i="2"/>
  <c r="J83" i="2"/>
  <c r="Y235" i="2" l="1"/>
  <c r="AI227" i="2"/>
  <c r="AD227" i="2"/>
  <c r="Y227" i="2"/>
  <c r="O227" i="2"/>
  <c r="J227" i="2"/>
  <c r="O235" i="2"/>
  <c r="J235" i="2"/>
  <c r="AI216" i="2" l="1"/>
  <c r="AD216" i="2"/>
  <c r="Y216" i="2"/>
  <c r="T216" i="2"/>
  <c r="O216" i="2"/>
  <c r="J216" i="2"/>
  <c r="I216" i="2"/>
  <c r="H216" i="2"/>
  <c r="G216" i="2"/>
  <c r="F216" i="2"/>
  <c r="AI215" i="2"/>
  <c r="AD215" i="2"/>
  <c r="Y215" i="2"/>
  <c r="T215" i="2"/>
  <c r="O215" i="2"/>
  <c r="J215" i="2"/>
  <c r="I215" i="2"/>
  <c r="H215" i="2"/>
  <c r="G215" i="2"/>
  <c r="F215" i="2"/>
  <c r="E215" i="2" l="1"/>
  <c r="E216" i="2"/>
  <c r="AE235" i="2"/>
  <c r="AF235" i="2"/>
  <c r="AG235" i="2"/>
  <c r="AH235" i="2"/>
  <c r="AJ235" i="2"/>
  <c r="AK235" i="2"/>
  <c r="AL235" i="2"/>
  <c r="AM235" i="2"/>
  <c r="F248" i="2"/>
  <c r="K248" i="2"/>
  <c r="L248" i="2"/>
  <c r="M248" i="2"/>
  <c r="N248" i="2"/>
  <c r="P248" i="2"/>
  <c r="Q248" i="2"/>
  <c r="R248" i="2"/>
  <c r="S248" i="2"/>
  <c r="U248" i="2"/>
  <c r="V248" i="2"/>
  <c r="Z248" i="2"/>
  <c r="Z210" i="2" s="1"/>
  <c r="AA248" i="2"/>
  <c r="AA210" i="2" s="1"/>
  <c r="AB248" i="2"/>
  <c r="AC248" i="2"/>
  <c r="AC210" i="2" s="1"/>
  <c r="AE248" i="2"/>
  <c r="AF248" i="2"/>
  <c r="AG248" i="2"/>
  <c r="AH248" i="2"/>
  <c r="AJ248" i="2"/>
  <c r="AK248" i="2"/>
  <c r="AL248" i="2"/>
  <c r="AM248" i="2"/>
  <c r="AL221" i="2" l="1"/>
  <c r="AL210" i="2" s="1"/>
  <c r="AG239" i="2"/>
  <c r="AG238" i="2"/>
  <c r="AF238" i="2"/>
  <c r="AF239" i="2"/>
  <c r="AK238" i="2"/>
  <c r="G238" i="2" s="1"/>
  <c r="AK239" i="2"/>
  <c r="G239" i="2" s="1"/>
  <c r="AE238" i="2"/>
  <c r="AE239" i="2"/>
  <c r="AL238" i="2"/>
  <c r="AL239" i="2"/>
  <c r="AJ238" i="2"/>
  <c r="AJ239" i="2"/>
  <c r="AH238" i="2"/>
  <c r="AH239" i="2"/>
  <c r="AH221" i="2" s="1"/>
  <c r="AM238" i="2"/>
  <c r="AM221" i="2" s="1"/>
  <c r="AM239" i="2"/>
  <c r="AK237" i="2"/>
  <c r="AK221" i="2" s="1"/>
  <c r="AL237" i="2"/>
  <c r="AJ237" i="2"/>
  <c r="AJ221" i="2" s="1"/>
  <c r="AH237" i="2"/>
  <c r="AG237" i="2"/>
  <c r="AG221" i="2" s="1"/>
  <c r="AF237" i="2"/>
  <c r="AF221" i="2" s="1"/>
  <c r="AE237" i="2"/>
  <c r="AE221" i="2" s="1"/>
  <c r="AM237" i="2"/>
  <c r="K210" i="2"/>
  <c r="Q210" i="2"/>
  <c r="U210" i="2"/>
  <c r="L210" i="2"/>
  <c r="AB210" i="2"/>
  <c r="P210" i="2"/>
  <c r="V210" i="2"/>
  <c r="I235" i="2"/>
  <c r="T290" i="2"/>
  <c r="H239" i="2" l="1"/>
  <c r="H238" i="2"/>
  <c r="AK210" i="2"/>
  <c r="AG210" i="2"/>
  <c r="I238" i="2"/>
  <c r="I239" i="2"/>
  <c r="E239" i="2" s="1"/>
  <c r="E238" i="2"/>
  <c r="H237" i="2"/>
  <c r="AH210" i="2"/>
  <c r="AE210" i="2"/>
  <c r="AJ210" i="2"/>
  <c r="AM210" i="2"/>
  <c r="AF210" i="2"/>
  <c r="G237" i="2"/>
  <c r="I237" i="2"/>
  <c r="F152" i="2"/>
  <c r="G152" i="2"/>
  <c r="H152" i="2"/>
  <c r="T152" i="2"/>
  <c r="X249" i="2"/>
  <c r="X248" i="2" s="1"/>
  <c r="X210" i="2" s="1"/>
  <c r="T235" i="2"/>
  <c r="W249" i="2"/>
  <c r="W248" i="2" s="1"/>
  <c r="F290" i="2"/>
  <c r="G290" i="2"/>
  <c r="H290" i="2"/>
  <c r="I290" i="2"/>
  <c r="J290" i="2"/>
  <c r="F235" i="2"/>
  <c r="G235" i="2"/>
  <c r="H235" i="2"/>
  <c r="W425" i="2"/>
  <c r="W426" i="2"/>
  <c r="W491" i="2"/>
  <c r="I480" i="2"/>
  <c r="F480" i="2"/>
  <c r="G480" i="2"/>
  <c r="H480" i="2"/>
  <c r="T480" i="2"/>
  <c r="F407" i="2"/>
  <c r="G407" i="2"/>
  <c r="H407" i="2"/>
  <c r="I407" i="2"/>
  <c r="J407" i="2"/>
  <c r="O407" i="2"/>
  <c r="T407" i="2"/>
  <c r="T403" i="2" s="1"/>
  <c r="F481" i="2"/>
  <c r="G481" i="2"/>
  <c r="H481" i="2"/>
  <c r="I481" i="2"/>
  <c r="J481" i="2"/>
  <c r="O481" i="2"/>
  <c r="T481" i="2"/>
  <c r="T419" i="2"/>
  <c r="F419" i="2"/>
  <c r="G419" i="2"/>
  <c r="H419" i="2"/>
  <c r="T417" i="2"/>
  <c r="W410" i="2"/>
  <c r="W409" i="2" s="1"/>
  <c r="F479" i="2"/>
  <c r="G479" i="2"/>
  <c r="H479" i="2"/>
  <c r="I479" i="2"/>
  <c r="J479" i="2"/>
  <c r="O479" i="2"/>
  <c r="T479" i="2"/>
  <c r="W318" i="2"/>
  <c r="W316" i="2" s="1"/>
  <c r="H316" i="2" s="1"/>
  <c r="E237" i="2" l="1"/>
  <c r="E152" i="2"/>
  <c r="E407" i="2"/>
  <c r="E479" i="2"/>
  <c r="E419" i="2"/>
  <c r="E481" i="2"/>
  <c r="E480" i="2"/>
  <c r="E235" i="2"/>
  <c r="E290" i="2"/>
  <c r="G227" i="2"/>
  <c r="H227" i="2"/>
  <c r="I227" i="2"/>
  <c r="T227" i="2"/>
  <c r="T165" i="2"/>
  <c r="W117" i="2"/>
  <c r="W125" i="2"/>
  <c r="W184" i="2"/>
  <c r="F21" i="2"/>
  <c r="G21" i="2"/>
  <c r="H21" i="2"/>
  <c r="T21" i="2"/>
  <c r="E21" i="2" l="1"/>
  <c r="E227" i="2"/>
  <c r="T106" i="2" l="1"/>
  <c r="F106" i="2"/>
  <c r="G106" i="2"/>
  <c r="H106" i="2"/>
  <c r="K109" i="2"/>
  <c r="L109" i="2"/>
  <c r="M109" i="2"/>
  <c r="N109" i="2"/>
  <c r="P109" i="2"/>
  <c r="Q109" i="2"/>
  <c r="R109" i="2"/>
  <c r="S109" i="2"/>
  <c r="U109" i="2"/>
  <c r="V109" i="2"/>
  <c r="W109" i="2"/>
  <c r="X109" i="2"/>
  <c r="F111" i="2"/>
  <c r="G111" i="2"/>
  <c r="H111" i="2"/>
  <c r="T111" i="2"/>
  <c r="F79" i="2"/>
  <c r="G79" i="2"/>
  <c r="I79" i="2"/>
  <c r="M79" i="2"/>
  <c r="M78" i="2" s="1"/>
  <c r="O79" i="2"/>
  <c r="T79" i="2"/>
  <c r="F83" i="2"/>
  <c r="G83" i="2"/>
  <c r="H83" i="2"/>
  <c r="T83" i="2"/>
  <c r="H79" i="2" l="1"/>
  <c r="E111" i="2"/>
  <c r="E83" i="2"/>
  <c r="E106" i="2"/>
  <c r="J79" i="2"/>
  <c r="AI435" i="2"/>
  <c r="AI436" i="2"/>
  <c r="AD435" i="2"/>
  <c r="AD436" i="2"/>
  <c r="Y435" i="2"/>
  <c r="Y436" i="2"/>
  <c r="AI287" i="2" l="1"/>
  <c r="AI288" i="2"/>
  <c r="AI289" i="2"/>
  <c r="AD287" i="2"/>
  <c r="AD288" i="2"/>
  <c r="AD289" i="2"/>
  <c r="Y287" i="2"/>
  <c r="Y288" i="2"/>
  <c r="Y289" i="2"/>
  <c r="J287" i="2"/>
  <c r="J288" i="2"/>
  <c r="J289" i="2"/>
  <c r="T287" i="2"/>
  <c r="T288" i="2"/>
  <c r="T289" i="2"/>
  <c r="J229" i="2"/>
  <c r="J230" i="2"/>
  <c r="J231" i="2"/>
  <c r="J232" i="2"/>
  <c r="J233" i="2"/>
  <c r="J234" i="2"/>
  <c r="O234" i="2"/>
  <c r="O229" i="2"/>
  <c r="O230" i="2"/>
  <c r="O231" i="2"/>
  <c r="O232" i="2"/>
  <c r="O233" i="2"/>
  <c r="T233" i="2"/>
  <c r="T234" i="2"/>
  <c r="T232" i="2"/>
  <c r="Y234" i="2"/>
  <c r="Y229" i="2"/>
  <c r="Y230" i="2"/>
  <c r="Y231" i="2"/>
  <c r="Y232" i="2"/>
  <c r="G452" i="2"/>
  <c r="G453" i="2"/>
  <c r="G454" i="2"/>
  <c r="G455" i="2"/>
  <c r="G456" i="2"/>
  <c r="G457" i="2"/>
  <c r="G458" i="2"/>
  <c r="G459" i="2"/>
  <c r="G460" i="2"/>
  <c r="G461" i="2"/>
  <c r="I452" i="2"/>
  <c r="I453" i="2"/>
  <c r="I454" i="2"/>
  <c r="I455" i="2"/>
  <c r="I456" i="2"/>
  <c r="I457" i="2"/>
  <c r="I458" i="2"/>
  <c r="I459" i="2"/>
  <c r="I460" i="2"/>
  <c r="I461" i="2"/>
  <c r="J458" i="2"/>
  <c r="J459" i="2"/>
  <c r="J460" i="2"/>
  <c r="J461" i="2"/>
  <c r="J451" i="2"/>
  <c r="J452" i="2"/>
  <c r="J453" i="2"/>
  <c r="J454" i="2"/>
  <c r="J455" i="2"/>
  <c r="J456" i="2"/>
  <c r="J457" i="2"/>
  <c r="H213" i="2" l="1"/>
  <c r="H214" i="2"/>
  <c r="W342" i="2" l="1"/>
  <c r="K542" i="2"/>
  <c r="L542" i="2"/>
  <c r="M542" i="2"/>
  <c r="N542" i="2"/>
  <c r="P542" i="2"/>
  <c r="Q542" i="2"/>
  <c r="S542" i="2"/>
  <c r="U542" i="2"/>
  <c r="V542" i="2"/>
  <c r="W542" i="2"/>
  <c r="X542" i="2"/>
  <c r="Z542" i="2"/>
  <c r="AA542" i="2"/>
  <c r="AB542" i="2"/>
  <c r="AC542" i="2"/>
  <c r="AE542" i="2"/>
  <c r="AF542" i="2"/>
  <c r="AH542" i="2"/>
  <c r="AJ542" i="2"/>
  <c r="AK542" i="2"/>
  <c r="AL542" i="2"/>
  <c r="AM542" i="2"/>
  <c r="AI544" i="2"/>
  <c r="AD544" i="2"/>
  <c r="Y544" i="2"/>
  <c r="T544" i="2"/>
  <c r="O544" i="2"/>
  <c r="J544" i="2"/>
  <c r="I544" i="2"/>
  <c r="H544" i="2"/>
  <c r="G544" i="2"/>
  <c r="F544" i="2"/>
  <c r="K438" i="2"/>
  <c r="L438" i="2"/>
  <c r="M438" i="2"/>
  <c r="N438" i="2"/>
  <c r="P438" i="2"/>
  <c r="Q438" i="2"/>
  <c r="S438" i="2"/>
  <c r="U438" i="2"/>
  <c r="V438" i="2"/>
  <c r="W438" i="2"/>
  <c r="X438" i="2"/>
  <c r="Z438" i="2"/>
  <c r="AA438" i="2"/>
  <c r="AB438" i="2"/>
  <c r="AC438" i="2"/>
  <c r="AE438" i="2"/>
  <c r="AF438" i="2"/>
  <c r="AG438" i="2"/>
  <c r="AH438" i="2"/>
  <c r="AJ438" i="2"/>
  <c r="AK438" i="2"/>
  <c r="AL438" i="2"/>
  <c r="AM438" i="2"/>
  <c r="H455" i="2"/>
  <c r="E455" i="2" s="1"/>
  <c r="O455" i="2"/>
  <c r="T455" i="2"/>
  <c r="Y455" i="2"/>
  <c r="AD455" i="2"/>
  <c r="AI455" i="2"/>
  <c r="H456" i="2"/>
  <c r="E456" i="2" s="1"/>
  <c r="O456" i="2"/>
  <c r="T456" i="2"/>
  <c r="Y456" i="2"/>
  <c r="AD456" i="2"/>
  <c r="AI456" i="2"/>
  <c r="H457" i="2"/>
  <c r="E457" i="2" s="1"/>
  <c r="O457" i="2"/>
  <c r="T457" i="2"/>
  <c r="Y457" i="2"/>
  <c r="AD457" i="2"/>
  <c r="AI457" i="2"/>
  <c r="H458" i="2"/>
  <c r="E458" i="2" s="1"/>
  <c r="O458" i="2"/>
  <c r="T458" i="2"/>
  <c r="Y458" i="2"/>
  <c r="AD458" i="2"/>
  <c r="AI458" i="2"/>
  <c r="H459" i="2"/>
  <c r="E459" i="2" s="1"/>
  <c r="O459" i="2"/>
  <c r="T459" i="2"/>
  <c r="Y459" i="2"/>
  <c r="AD459" i="2"/>
  <c r="AI459" i="2"/>
  <c r="H460" i="2"/>
  <c r="E460" i="2" s="1"/>
  <c r="O460" i="2"/>
  <c r="T460" i="2"/>
  <c r="Y460" i="2"/>
  <c r="AD460" i="2"/>
  <c r="AI460" i="2"/>
  <c r="H461" i="2"/>
  <c r="E461" i="2" s="1"/>
  <c r="O461" i="2"/>
  <c r="T461" i="2"/>
  <c r="Y461" i="2"/>
  <c r="AD461" i="2"/>
  <c r="AI461" i="2"/>
  <c r="T451" i="2"/>
  <c r="Y451" i="2"/>
  <c r="AD451" i="2"/>
  <c r="AI451" i="2"/>
  <c r="T452" i="2"/>
  <c r="Y452" i="2"/>
  <c r="AD452" i="2"/>
  <c r="AI452" i="2"/>
  <c r="T453" i="2"/>
  <c r="Y453" i="2"/>
  <c r="AD453" i="2"/>
  <c r="AI453" i="2"/>
  <c r="T454" i="2"/>
  <c r="Y454" i="2"/>
  <c r="AD454" i="2"/>
  <c r="AI454" i="2"/>
  <c r="O454" i="2"/>
  <c r="H454" i="2"/>
  <c r="E454" i="2" s="1"/>
  <c r="W329" i="2"/>
  <c r="W280" i="2"/>
  <c r="K489" i="2"/>
  <c r="L489" i="2"/>
  <c r="M489" i="2"/>
  <c r="N489" i="2"/>
  <c r="P489" i="2"/>
  <c r="Q489" i="2"/>
  <c r="S489" i="2"/>
  <c r="U489" i="2"/>
  <c r="V489" i="2"/>
  <c r="W489" i="2"/>
  <c r="X489" i="2"/>
  <c r="Z489" i="2"/>
  <c r="AA489" i="2"/>
  <c r="AB489" i="2"/>
  <c r="AC489" i="2"/>
  <c r="AE489" i="2"/>
  <c r="AF489" i="2"/>
  <c r="AG489" i="2"/>
  <c r="AH489" i="2"/>
  <c r="AJ489" i="2"/>
  <c r="AK489" i="2"/>
  <c r="AL489" i="2"/>
  <c r="AM489" i="2"/>
  <c r="E544" i="2" l="1"/>
  <c r="W424" i="2"/>
  <c r="AI231" i="2"/>
  <c r="AI232" i="2"/>
  <c r="AI233" i="2"/>
  <c r="AI234" i="2"/>
  <c r="AI229" i="2"/>
  <c r="AI230" i="2"/>
  <c r="AD229" i="2"/>
  <c r="AD230" i="2"/>
  <c r="AD231" i="2"/>
  <c r="AD232" i="2"/>
  <c r="R543" i="2" l="1"/>
  <c r="R542" i="2" s="1"/>
  <c r="R253" i="2"/>
  <c r="R546" i="2"/>
  <c r="R536" i="2"/>
  <c r="R519" i="2"/>
  <c r="R425" i="2"/>
  <c r="R432" i="2"/>
  <c r="R338" i="2"/>
  <c r="R446" i="2"/>
  <c r="R491" i="2"/>
  <c r="R489" i="2" s="1"/>
  <c r="R431" i="2"/>
  <c r="R361" i="2"/>
  <c r="H361" i="2" s="1"/>
  <c r="R341" i="2"/>
  <c r="O453" i="2"/>
  <c r="H453" i="2"/>
  <c r="E453" i="2" s="1"/>
  <c r="R389" i="2"/>
  <c r="R397" i="2"/>
  <c r="R355" i="2"/>
  <c r="R412" i="2"/>
  <c r="R409" i="2" s="1"/>
  <c r="R351" i="2"/>
  <c r="R347" i="2"/>
  <c r="R343" i="2"/>
  <c r="R272" i="2"/>
  <c r="R265" i="2"/>
  <c r="AI274" i="2"/>
  <c r="AD274" i="2"/>
  <c r="Y274" i="2"/>
  <c r="T274" i="2"/>
  <c r="O274" i="2"/>
  <c r="J274" i="2"/>
  <c r="I274" i="2"/>
  <c r="H274" i="2"/>
  <c r="G274" i="2"/>
  <c r="F274" i="2"/>
  <c r="S228" i="2"/>
  <c r="S221" i="2" s="1"/>
  <c r="R228" i="2"/>
  <c r="S246" i="2"/>
  <c r="R246" i="2"/>
  <c r="S245" i="2"/>
  <c r="R245" i="2"/>
  <c r="AI226" i="2"/>
  <c r="AD226" i="2"/>
  <c r="Y226" i="2"/>
  <c r="T226" i="2"/>
  <c r="O226" i="2"/>
  <c r="J226" i="2"/>
  <c r="I226" i="2"/>
  <c r="H226" i="2"/>
  <c r="G226" i="2"/>
  <c r="F226" i="2"/>
  <c r="R77" i="2"/>
  <c r="AI59" i="2"/>
  <c r="AD59" i="2"/>
  <c r="Y59" i="2"/>
  <c r="T59" i="2"/>
  <c r="O59" i="2"/>
  <c r="J59" i="2"/>
  <c r="I59" i="2"/>
  <c r="H59" i="2"/>
  <c r="E59" i="2" s="1"/>
  <c r="G59" i="2"/>
  <c r="F59" i="2"/>
  <c r="R122" i="2"/>
  <c r="AI163" i="2"/>
  <c r="AH163" i="2"/>
  <c r="AD163" i="2" s="1"/>
  <c r="Y163" i="2"/>
  <c r="T163" i="2"/>
  <c r="O163" i="2"/>
  <c r="J163" i="2"/>
  <c r="H163" i="2"/>
  <c r="G163" i="2"/>
  <c r="F163" i="2"/>
  <c r="R161" i="2"/>
  <c r="R156" i="2" s="1"/>
  <c r="R128" i="2"/>
  <c r="R185" i="2"/>
  <c r="R96" i="2"/>
  <c r="R49" i="2"/>
  <c r="R48" i="2"/>
  <c r="R51" i="2"/>
  <c r="R35" i="2"/>
  <c r="R244" i="2" l="1"/>
  <c r="S244" i="2"/>
  <c r="E274" i="2"/>
  <c r="E226" i="2"/>
  <c r="I163" i="2"/>
  <c r="E163" i="2" s="1"/>
  <c r="S210" i="2" l="1"/>
  <c r="T435" i="2"/>
  <c r="T436" i="2"/>
  <c r="J435" i="2"/>
  <c r="J436" i="2"/>
  <c r="O436" i="2"/>
  <c r="H436" i="2"/>
  <c r="G436" i="2"/>
  <c r="F436" i="2"/>
  <c r="T477" i="2"/>
  <c r="Y477" i="2"/>
  <c r="AD477" i="2"/>
  <c r="AI477" i="2"/>
  <c r="T478" i="2"/>
  <c r="Y478" i="2"/>
  <c r="AD478" i="2"/>
  <c r="AI478" i="2"/>
  <c r="J478" i="2"/>
  <c r="J477" i="2"/>
  <c r="O478" i="2"/>
  <c r="I478" i="2"/>
  <c r="H478" i="2"/>
  <c r="G478" i="2"/>
  <c r="F478" i="2"/>
  <c r="E478" i="2" l="1"/>
  <c r="E436" i="2"/>
  <c r="R260" i="2"/>
  <c r="R264" i="2"/>
  <c r="R261" i="2"/>
  <c r="R332" i="2"/>
  <c r="R387" i="2" l="1"/>
  <c r="R394" i="2"/>
  <c r="S316" i="2"/>
  <c r="U316" i="2"/>
  <c r="V316" i="2"/>
  <c r="X316" i="2"/>
  <c r="X280" i="2" s="1"/>
  <c r="Z316" i="2"/>
  <c r="AA316" i="2"/>
  <c r="AC316" i="2"/>
  <c r="AE316" i="2"/>
  <c r="AF316" i="2"/>
  <c r="AH316" i="2"/>
  <c r="AJ316" i="2"/>
  <c r="AK316" i="2"/>
  <c r="AM316" i="2"/>
  <c r="R222" i="2"/>
  <c r="R221" i="2" s="1"/>
  <c r="R210" i="2" l="1"/>
  <c r="K205" i="2"/>
  <c r="L205" i="2"/>
  <c r="M205" i="2"/>
  <c r="N205" i="2"/>
  <c r="P205" i="2"/>
  <c r="Q205" i="2"/>
  <c r="R205" i="2"/>
  <c r="S205" i="2"/>
  <c r="U205" i="2"/>
  <c r="V205" i="2"/>
  <c r="W205" i="2"/>
  <c r="X205" i="2"/>
  <c r="Z205" i="2"/>
  <c r="AA205" i="2"/>
  <c r="AB205" i="2"/>
  <c r="AC205" i="2"/>
  <c r="AE205" i="2"/>
  <c r="AF205" i="2"/>
  <c r="AG205" i="2"/>
  <c r="AH205" i="2"/>
  <c r="AJ205" i="2"/>
  <c r="AK205" i="2"/>
  <c r="AL205" i="2"/>
  <c r="AM205" i="2"/>
  <c r="T207" i="2"/>
  <c r="H207" i="2"/>
  <c r="G207" i="2"/>
  <c r="F207" i="2"/>
  <c r="E207" i="2" l="1"/>
  <c r="AD249" i="2"/>
  <c r="AI249" i="2"/>
  <c r="AD250" i="2"/>
  <c r="AI250" i="2"/>
  <c r="Y249" i="2"/>
  <c r="Y250" i="2"/>
  <c r="O249" i="2"/>
  <c r="T249" i="2"/>
  <c r="O250" i="2"/>
  <c r="T250" i="2"/>
  <c r="J249" i="2"/>
  <c r="J250" i="2"/>
  <c r="I249" i="2"/>
  <c r="I250" i="2"/>
  <c r="G249" i="2"/>
  <c r="G250" i="2"/>
  <c r="H225" i="2"/>
  <c r="H249" i="2"/>
  <c r="H250" i="2"/>
  <c r="O248" i="2" l="1"/>
  <c r="J248" i="2"/>
  <c r="H248" i="2"/>
  <c r="AI248" i="2"/>
  <c r="AI239" i="2" s="1"/>
  <c r="AD248" i="2"/>
  <c r="AD239" i="2" s="1"/>
  <c r="I248" i="2"/>
  <c r="Y248" i="2"/>
  <c r="G248" i="2"/>
  <c r="E249" i="2"/>
  <c r="T248" i="2"/>
  <c r="E250" i="2"/>
  <c r="E248" i="2" l="1"/>
  <c r="AI58" i="2"/>
  <c r="AD58" i="2"/>
  <c r="Y58" i="2"/>
  <c r="T58" i="2"/>
  <c r="O58" i="2"/>
  <c r="J58" i="2"/>
  <c r="I58" i="2"/>
  <c r="H58" i="2"/>
  <c r="E58" i="2" s="1"/>
  <c r="G58" i="2"/>
  <c r="F58" i="2"/>
  <c r="F232" i="2" l="1"/>
  <c r="G232" i="2"/>
  <c r="H232" i="2"/>
  <c r="I232" i="2"/>
  <c r="F233" i="2"/>
  <c r="G233" i="2"/>
  <c r="H233" i="2"/>
  <c r="I233" i="2"/>
  <c r="Y233" i="2"/>
  <c r="W229" i="2"/>
  <c r="W221" i="2" s="1"/>
  <c r="AD234" i="2"/>
  <c r="I234" i="2"/>
  <c r="H234" i="2"/>
  <c r="G234" i="2"/>
  <c r="F234" i="2"/>
  <c r="T231" i="2"/>
  <c r="I231" i="2"/>
  <c r="H231" i="2"/>
  <c r="G231" i="2"/>
  <c r="F231" i="2"/>
  <c r="T230" i="2"/>
  <c r="I230" i="2"/>
  <c r="H230" i="2"/>
  <c r="G230" i="2"/>
  <c r="F230" i="2"/>
  <c r="I229" i="2"/>
  <c r="G229" i="2"/>
  <c r="F229" i="2"/>
  <c r="E233" i="2" l="1"/>
  <c r="W210" i="2"/>
  <c r="E232" i="2"/>
  <c r="E234" i="2"/>
  <c r="E230" i="2"/>
  <c r="E231" i="2"/>
  <c r="H229" i="2"/>
  <c r="E229" i="2" s="1"/>
  <c r="T229" i="2"/>
  <c r="AI153" i="2" l="1"/>
  <c r="AD153" i="2"/>
  <c r="Y153" i="2"/>
  <c r="T153" i="2"/>
  <c r="O153" i="2"/>
  <c r="J153" i="2"/>
  <c r="I153" i="2"/>
  <c r="H153" i="2"/>
  <c r="G153" i="2"/>
  <c r="F153" i="2"/>
  <c r="T418" i="2"/>
  <c r="AI196" i="2"/>
  <c r="AD196" i="2"/>
  <c r="Y196" i="2"/>
  <c r="T196" i="2"/>
  <c r="O196" i="2"/>
  <c r="J196" i="2"/>
  <c r="I196" i="2"/>
  <c r="H196" i="2"/>
  <c r="G196" i="2"/>
  <c r="F196" i="2"/>
  <c r="AI195" i="2"/>
  <c r="AD195" i="2"/>
  <c r="Y195" i="2"/>
  <c r="T195" i="2"/>
  <c r="O195" i="2"/>
  <c r="J195" i="2"/>
  <c r="I195" i="2"/>
  <c r="H195" i="2"/>
  <c r="G195" i="2"/>
  <c r="F195" i="2"/>
  <c r="E153" i="2" l="1"/>
  <c r="E195" i="2"/>
  <c r="E196" i="2"/>
  <c r="H368" i="2"/>
  <c r="H369" i="2"/>
  <c r="F520" i="2" l="1"/>
  <c r="G520" i="2"/>
  <c r="H520" i="2"/>
  <c r="I520" i="2"/>
  <c r="J520" i="2"/>
  <c r="O520" i="2"/>
  <c r="T520" i="2"/>
  <c r="Y520" i="2"/>
  <c r="AD520" i="2"/>
  <c r="AI520" i="2"/>
  <c r="E520" i="2" l="1"/>
  <c r="H410" i="2"/>
  <c r="T410" i="2"/>
  <c r="T409" i="2" s="1"/>
  <c r="O20" i="2"/>
  <c r="H20" i="2"/>
  <c r="AI194" i="2"/>
  <c r="AD194" i="2"/>
  <c r="Y194" i="2"/>
  <c r="T194" i="2"/>
  <c r="O194" i="2"/>
  <c r="J194" i="2"/>
  <c r="I194" i="2"/>
  <c r="H194" i="2"/>
  <c r="G194" i="2"/>
  <c r="F194" i="2"/>
  <c r="AI193" i="2"/>
  <c r="AD193" i="2"/>
  <c r="Y193" i="2"/>
  <c r="T193" i="2"/>
  <c r="O193" i="2"/>
  <c r="J193" i="2"/>
  <c r="I193" i="2"/>
  <c r="H193" i="2"/>
  <c r="G193" i="2"/>
  <c r="F193" i="2"/>
  <c r="E194" i="2" l="1"/>
  <c r="E193" i="2"/>
  <c r="Z109" i="2" l="1"/>
  <c r="AA109" i="2"/>
  <c r="AB109" i="2"/>
  <c r="AC109" i="2"/>
  <c r="AE109" i="2"/>
  <c r="AF109" i="2"/>
  <c r="AG109" i="2"/>
  <c r="AH109" i="2"/>
  <c r="AJ109" i="2"/>
  <c r="AK109" i="2"/>
  <c r="AL109" i="2"/>
  <c r="AM109" i="2"/>
  <c r="AI110" i="2"/>
  <c r="AI109" i="2" s="1"/>
  <c r="AD110" i="2"/>
  <c r="AD109" i="2" s="1"/>
  <c r="Y110" i="2"/>
  <c r="Y109" i="2" s="1"/>
  <c r="T110" i="2"/>
  <c r="T109" i="2" s="1"/>
  <c r="O110" i="2"/>
  <c r="O109" i="2" s="1"/>
  <c r="J110" i="2"/>
  <c r="J109" i="2" s="1"/>
  <c r="I110" i="2"/>
  <c r="I109" i="2" s="1"/>
  <c r="H110" i="2"/>
  <c r="H109" i="2" s="1"/>
  <c r="G110" i="2"/>
  <c r="G109" i="2" s="1"/>
  <c r="F110" i="2"/>
  <c r="F109" i="2" s="1"/>
  <c r="E110" i="2" l="1"/>
  <c r="E109" i="2" s="1"/>
  <c r="R38" i="2" l="1"/>
  <c r="AI418" i="2" l="1"/>
  <c r="AD418" i="2"/>
  <c r="Y418" i="2"/>
  <c r="O418" i="2"/>
  <c r="J418" i="2"/>
  <c r="I418" i="2"/>
  <c r="H418" i="2"/>
  <c r="G418" i="2"/>
  <c r="F418" i="2"/>
  <c r="E418" i="2" l="1"/>
  <c r="AI209" i="2"/>
  <c r="AI208" i="2" s="1"/>
  <c r="AD209" i="2"/>
  <c r="AD208" i="2" s="1"/>
  <c r="Y209" i="2"/>
  <c r="Y208" i="2" s="1"/>
  <c r="T209" i="2"/>
  <c r="T208" i="2" s="1"/>
  <c r="O209" i="2"/>
  <c r="O208" i="2" s="1"/>
  <c r="J209" i="2"/>
  <c r="J208" i="2" s="1"/>
  <c r="I209" i="2"/>
  <c r="I208" i="2" s="1"/>
  <c r="H209" i="2"/>
  <c r="G209" i="2"/>
  <c r="G208" i="2" s="1"/>
  <c r="F209" i="2"/>
  <c r="F208" i="2" s="1"/>
  <c r="AM208" i="2"/>
  <c r="AL208" i="2"/>
  <c r="AK208" i="2"/>
  <c r="AJ208" i="2"/>
  <c r="AH208" i="2"/>
  <c r="AG208" i="2"/>
  <c r="AF208" i="2"/>
  <c r="AE208" i="2"/>
  <c r="AC208" i="2"/>
  <c r="AB208" i="2"/>
  <c r="AA208" i="2"/>
  <c r="Z208" i="2"/>
  <c r="X208" i="2"/>
  <c r="W208" i="2"/>
  <c r="V208" i="2"/>
  <c r="U208" i="2"/>
  <c r="S208" i="2"/>
  <c r="R208" i="2"/>
  <c r="Q208" i="2"/>
  <c r="P208" i="2"/>
  <c r="N208" i="2"/>
  <c r="M208" i="2"/>
  <c r="L208" i="2"/>
  <c r="K208" i="2"/>
  <c r="E209" i="2" l="1"/>
  <c r="E208" i="2" s="1"/>
  <c r="H208" i="2"/>
  <c r="O289" i="2" l="1"/>
  <c r="F289" i="2"/>
  <c r="G289" i="2"/>
  <c r="H289" i="2"/>
  <c r="I289" i="2"/>
  <c r="E289" i="2" l="1"/>
  <c r="G546" i="2" l="1"/>
  <c r="R426" i="2"/>
  <c r="H426" i="2" s="1"/>
  <c r="O477" i="2"/>
  <c r="F477" i="2"/>
  <c r="G477" i="2"/>
  <c r="H477" i="2"/>
  <c r="I477" i="2"/>
  <c r="H452" i="2"/>
  <c r="E452" i="2" s="1"/>
  <c r="O452" i="2"/>
  <c r="O451" i="2"/>
  <c r="E477" i="2" l="1"/>
  <c r="F451" i="2" l="1"/>
  <c r="G451" i="2"/>
  <c r="H451" i="2"/>
  <c r="I451" i="2"/>
  <c r="R449" i="2"/>
  <c r="R444" i="2"/>
  <c r="F435" i="2"/>
  <c r="G435" i="2"/>
  <c r="H435" i="2"/>
  <c r="O435" i="2"/>
  <c r="R469" i="2"/>
  <c r="E435" i="2" l="1"/>
  <c r="E451" i="2"/>
  <c r="F287" i="2"/>
  <c r="G287" i="2"/>
  <c r="H287" i="2"/>
  <c r="I287" i="2"/>
  <c r="F288" i="2"/>
  <c r="G288" i="2"/>
  <c r="H288" i="2"/>
  <c r="I288" i="2"/>
  <c r="O288" i="2"/>
  <c r="O287" i="2"/>
  <c r="R119" i="2"/>
  <c r="R81" i="2"/>
  <c r="R78" i="2" s="1"/>
  <c r="E287" i="2" l="1"/>
  <c r="E288" i="2"/>
  <c r="AI57" i="2"/>
  <c r="AD57" i="2"/>
  <c r="Y57" i="2"/>
  <c r="T57" i="2"/>
  <c r="O57" i="2"/>
  <c r="J57" i="2"/>
  <c r="I57" i="2"/>
  <c r="H57" i="2"/>
  <c r="E57" i="2" s="1"/>
  <c r="G57" i="2"/>
  <c r="F57" i="2"/>
  <c r="AI56" i="2"/>
  <c r="AD56" i="2"/>
  <c r="Y56" i="2"/>
  <c r="T56" i="2"/>
  <c r="O56" i="2"/>
  <c r="J56" i="2"/>
  <c r="I56" i="2"/>
  <c r="H56" i="2"/>
  <c r="E56" i="2" s="1"/>
  <c r="G56" i="2"/>
  <c r="F56" i="2"/>
  <c r="AI55" i="2"/>
  <c r="AD55" i="2"/>
  <c r="Y55" i="2"/>
  <c r="T55" i="2"/>
  <c r="O55" i="2"/>
  <c r="J55" i="2"/>
  <c r="I55" i="2"/>
  <c r="H55" i="2"/>
  <c r="E55" i="2" s="1"/>
  <c r="G55" i="2"/>
  <c r="F55" i="2"/>
  <c r="R533" i="2" l="1"/>
  <c r="Z533" i="2"/>
  <c r="AA533" i="2"/>
  <c r="AB533" i="2"/>
  <c r="AC533" i="2"/>
  <c r="AE533" i="2"/>
  <c r="AF533" i="2"/>
  <c r="AH533" i="2"/>
  <c r="AJ533" i="2"/>
  <c r="AK533" i="2"/>
  <c r="AL533" i="2"/>
  <c r="AM533" i="2"/>
  <c r="X533" i="2"/>
  <c r="W533" i="2"/>
  <c r="V533" i="2"/>
  <c r="U533" i="2"/>
  <c r="S533" i="2"/>
  <c r="Q533" i="2"/>
  <c r="P533" i="2"/>
  <c r="N533" i="2"/>
  <c r="M533" i="2"/>
  <c r="L533" i="2"/>
  <c r="K533" i="2"/>
  <c r="F533" i="2"/>
  <c r="AI537" i="2"/>
  <c r="AD537" i="2"/>
  <c r="Y537" i="2"/>
  <c r="T537" i="2"/>
  <c r="O537" i="2"/>
  <c r="J537" i="2"/>
  <c r="I537" i="2"/>
  <c r="H537" i="2"/>
  <c r="G537" i="2"/>
  <c r="R524" i="2"/>
  <c r="R541" i="2"/>
  <c r="R472" i="2"/>
  <c r="R428" i="2"/>
  <c r="R333" i="2"/>
  <c r="AI467" i="2"/>
  <c r="AD467" i="2"/>
  <c r="Y467" i="2"/>
  <c r="T467" i="2"/>
  <c r="O467" i="2"/>
  <c r="J467" i="2"/>
  <c r="I467" i="2"/>
  <c r="H467" i="2"/>
  <c r="G467" i="2"/>
  <c r="F467" i="2"/>
  <c r="R473" i="2"/>
  <c r="R367" i="2"/>
  <c r="H367" i="2" s="1"/>
  <c r="R350" i="2"/>
  <c r="AI476" i="2"/>
  <c r="AD476" i="2"/>
  <c r="Y476" i="2"/>
  <c r="T476" i="2"/>
  <c r="O476" i="2"/>
  <c r="J476" i="2"/>
  <c r="I476" i="2"/>
  <c r="H476" i="2"/>
  <c r="G476" i="2"/>
  <c r="F476" i="2"/>
  <c r="E537" i="2" l="1"/>
  <c r="E467" i="2"/>
  <c r="E476" i="2"/>
  <c r="H326" i="2"/>
  <c r="AI326" i="2"/>
  <c r="AD326" i="2"/>
  <c r="Y326" i="2"/>
  <c r="T326" i="2"/>
  <c r="O326" i="2"/>
  <c r="J326" i="2"/>
  <c r="I326" i="2"/>
  <c r="G326" i="2"/>
  <c r="F326" i="2"/>
  <c r="R263" i="2"/>
  <c r="R280" i="2" l="1"/>
  <c r="E326" i="2"/>
  <c r="H317" i="2"/>
  <c r="R104" i="2"/>
  <c r="R100" i="2" s="1"/>
  <c r="G101" i="2"/>
  <c r="AI105" i="2"/>
  <c r="AD105" i="2"/>
  <c r="Y105" i="2"/>
  <c r="T105" i="2"/>
  <c r="O105" i="2"/>
  <c r="J105" i="2"/>
  <c r="I105" i="2"/>
  <c r="H105" i="2"/>
  <c r="G105" i="2"/>
  <c r="F105" i="2"/>
  <c r="R30" i="2"/>
  <c r="E105" i="2" l="1"/>
  <c r="R353" i="2"/>
  <c r="AI546" i="2" l="1"/>
  <c r="AD546" i="2"/>
  <c r="Y546" i="2"/>
  <c r="T546" i="2"/>
  <c r="T545" i="2" s="1"/>
  <c r="AH160" i="2"/>
  <c r="AH161" i="2"/>
  <c r="AH162" i="2"/>
  <c r="F443" i="2"/>
  <c r="F444" i="2"/>
  <c r="F445" i="2"/>
  <c r="F446" i="2"/>
  <c r="F447" i="2"/>
  <c r="F448" i="2"/>
  <c r="F449" i="2"/>
  <c r="F450" i="2"/>
  <c r="F426" i="2"/>
  <c r="F337" i="2"/>
  <c r="F338" i="2"/>
  <c r="F160" i="2"/>
  <c r="F161" i="2"/>
  <c r="F162" i="2"/>
  <c r="F151" i="2"/>
  <c r="F103" i="2"/>
  <c r="F104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41" i="2"/>
  <c r="F16" i="2"/>
  <c r="F17" i="2"/>
  <c r="F18" i="2"/>
  <c r="F19" i="2"/>
  <c r="F20" i="2"/>
  <c r="F15" i="2"/>
  <c r="F546" i="2"/>
  <c r="F543" i="2"/>
  <c r="F542" i="2" s="1"/>
  <c r="F540" i="2"/>
  <c r="F541" i="2"/>
  <c r="F539" i="2"/>
  <c r="K514" i="2"/>
  <c r="K127" i="2"/>
  <c r="F40" i="2"/>
  <c r="F39" i="2"/>
  <c r="F38" i="2"/>
  <c r="F37" i="2"/>
  <c r="F36" i="2"/>
  <c r="F35" i="2"/>
  <c r="F362" i="2"/>
  <c r="G362" i="2"/>
  <c r="H362" i="2"/>
  <c r="O362" i="2"/>
  <c r="E362" i="2" l="1"/>
  <c r="G47" i="2" l="1"/>
  <c r="AI247" i="2" l="1"/>
  <c r="AI238" i="2" s="1"/>
  <c r="AD247" i="2"/>
  <c r="AD238" i="2" s="1"/>
  <c r="Y247" i="2"/>
  <c r="T247" i="2"/>
  <c r="O247" i="2"/>
  <c r="J247" i="2"/>
  <c r="I247" i="2"/>
  <c r="H247" i="2"/>
  <c r="G247" i="2"/>
  <c r="F247" i="2"/>
  <c r="E247" i="2" l="1"/>
  <c r="O39" i="5"/>
  <c r="N39" i="5"/>
  <c r="L39" i="5"/>
  <c r="K39" i="5"/>
  <c r="I39" i="5"/>
  <c r="H39" i="5"/>
  <c r="O34" i="5"/>
  <c r="N34" i="5"/>
  <c r="L34" i="5"/>
  <c r="K34" i="5"/>
  <c r="I34" i="5"/>
  <c r="H34" i="5"/>
  <c r="O29" i="5"/>
  <c r="N29" i="5"/>
  <c r="L29" i="5"/>
  <c r="K29" i="5"/>
  <c r="I29" i="5"/>
  <c r="H29" i="5"/>
  <c r="O24" i="5"/>
  <c r="N24" i="5"/>
  <c r="L24" i="5"/>
  <c r="K24" i="5"/>
  <c r="I24" i="5"/>
  <c r="H24" i="5"/>
  <c r="O19" i="5"/>
  <c r="N19" i="5"/>
  <c r="L19" i="5"/>
  <c r="K19" i="5"/>
  <c r="I19" i="5"/>
  <c r="H19" i="5"/>
  <c r="O14" i="5"/>
  <c r="N14" i="5"/>
  <c r="L14" i="5"/>
  <c r="K14" i="5"/>
  <c r="I14" i="5"/>
  <c r="H14" i="5"/>
  <c r="O13" i="5"/>
  <c r="N13" i="5"/>
  <c r="L13" i="5"/>
  <c r="K13" i="5"/>
  <c r="I13" i="5"/>
  <c r="H13" i="5"/>
  <c r="O12" i="5"/>
  <c r="N12" i="5"/>
  <c r="L12" i="5"/>
  <c r="K12" i="5"/>
  <c r="I12" i="5"/>
  <c r="H12" i="5"/>
  <c r="O11" i="5"/>
  <c r="N11" i="5"/>
  <c r="L11" i="5"/>
  <c r="K11" i="5"/>
  <c r="I11" i="5"/>
  <c r="H11" i="5"/>
  <c r="O10" i="5"/>
  <c r="N10" i="5"/>
  <c r="L10" i="5"/>
  <c r="K10" i="5"/>
  <c r="I10" i="5"/>
  <c r="H10" i="5"/>
  <c r="H9" i="5" l="1"/>
  <c r="N9" i="5"/>
  <c r="O9" i="5"/>
  <c r="K9" i="5"/>
  <c r="I9" i="5"/>
  <c r="L9" i="5"/>
  <c r="L48" i="5" s="1"/>
  <c r="R329" i="2" l="1"/>
  <c r="R200" i="2"/>
  <c r="R127" i="2"/>
  <c r="R24" i="2"/>
  <c r="AI54" i="2"/>
  <c r="AD54" i="2"/>
  <c r="Y54" i="2"/>
  <c r="T54" i="2"/>
  <c r="O54" i="2"/>
  <c r="J54" i="2"/>
  <c r="I54" i="2"/>
  <c r="H54" i="2"/>
  <c r="E54" i="2" s="1"/>
  <c r="G54" i="2"/>
  <c r="AI53" i="2"/>
  <c r="AD53" i="2"/>
  <c r="Y53" i="2"/>
  <c r="T53" i="2"/>
  <c r="O53" i="2"/>
  <c r="J53" i="2"/>
  <c r="I53" i="2"/>
  <c r="H53" i="2"/>
  <c r="E53" i="2" s="1"/>
  <c r="G53" i="2"/>
  <c r="AI52" i="2"/>
  <c r="AD52" i="2"/>
  <c r="Y52" i="2"/>
  <c r="T52" i="2"/>
  <c r="O52" i="2"/>
  <c r="J52" i="2"/>
  <c r="I52" i="2"/>
  <c r="H52" i="2"/>
  <c r="E52" i="2" s="1"/>
  <c r="G52" i="2"/>
  <c r="AI51" i="2"/>
  <c r="AD51" i="2"/>
  <c r="Y51" i="2"/>
  <c r="T51" i="2"/>
  <c r="O51" i="2"/>
  <c r="J51" i="2"/>
  <c r="I51" i="2"/>
  <c r="H51" i="2"/>
  <c r="E51" i="2" s="1"/>
  <c r="G51" i="2"/>
  <c r="R145" i="2"/>
  <c r="R146" i="2"/>
  <c r="R144" i="2"/>
  <c r="R143" i="2"/>
  <c r="R142" i="2"/>
  <c r="R141" i="2"/>
  <c r="R138" i="2"/>
  <c r="R140" i="2"/>
  <c r="R139" i="2"/>
  <c r="R137" i="2"/>
  <c r="R136" i="2"/>
  <c r="R135" i="2"/>
  <c r="R134" i="2"/>
  <c r="R133" i="2"/>
  <c r="R132" i="2"/>
  <c r="R379" i="2"/>
  <c r="H417" i="2"/>
  <c r="AI417" i="2"/>
  <c r="AD417" i="2"/>
  <c r="Y417" i="2"/>
  <c r="O417" i="2"/>
  <c r="J417" i="2"/>
  <c r="I417" i="2"/>
  <c r="G417" i="2"/>
  <c r="F417" i="2"/>
  <c r="AI416" i="2"/>
  <c r="AD416" i="2"/>
  <c r="Y416" i="2"/>
  <c r="O416" i="2"/>
  <c r="J416" i="2"/>
  <c r="I416" i="2"/>
  <c r="H416" i="2"/>
  <c r="G416" i="2"/>
  <c r="F416" i="2"/>
  <c r="AI406" i="2"/>
  <c r="AD406" i="2"/>
  <c r="Y406" i="2"/>
  <c r="O406" i="2"/>
  <c r="J406" i="2"/>
  <c r="I406" i="2"/>
  <c r="H406" i="2"/>
  <c r="G406" i="2"/>
  <c r="F406" i="2"/>
  <c r="M281" i="2"/>
  <c r="AI471" i="2"/>
  <c r="AD471" i="2"/>
  <c r="Y471" i="2"/>
  <c r="T471" i="2"/>
  <c r="O471" i="2"/>
  <c r="J471" i="2"/>
  <c r="I471" i="2"/>
  <c r="H471" i="2"/>
  <c r="G471" i="2"/>
  <c r="F471" i="2"/>
  <c r="AI357" i="2"/>
  <c r="AD357" i="2"/>
  <c r="Y357" i="2"/>
  <c r="T357" i="2"/>
  <c r="O357" i="2"/>
  <c r="J357" i="2"/>
  <c r="I357" i="2"/>
  <c r="H357" i="2"/>
  <c r="G357" i="2"/>
  <c r="F357" i="2"/>
  <c r="AI470" i="2"/>
  <c r="AD470" i="2"/>
  <c r="Y470" i="2"/>
  <c r="T470" i="2"/>
  <c r="O470" i="2"/>
  <c r="J470" i="2"/>
  <c r="I470" i="2"/>
  <c r="H470" i="2"/>
  <c r="G470" i="2"/>
  <c r="F470" i="2"/>
  <c r="AI448" i="2"/>
  <c r="AD448" i="2"/>
  <c r="Y448" i="2"/>
  <c r="T448" i="2"/>
  <c r="O448" i="2"/>
  <c r="J448" i="2"/>
  <c r="I448" i="2"/>
  <c r="H448" i="2"/>
  <c r="G448" i="2"/>
  <c r="R447" i="2"/>
  <c r="R438" i="2" s="1"/>
  <c r="AI469" i="2"/>
  <c r="AD469" i="2"/>
  <c r="Y469" i="2"/>
  <c r="T469" i="2"/>
  <c r="O469" i="2"/>
  <c r="J469" i="2"/>
  <c r="I469" i="2"/>
  <c r="H469" i="2"/>
  <c r="G469" i="2"/>
  <c r="F469" i="2"/>
  <c r="R468" i="2"/>
  <c r="R464" i="2" s="1"/>
  <c r="AI254" i="2"/>
  <c r="AD254" i="2"/>
  <c r="Y254" i="2"/>
  <c r="T254" i="2"/>
  <c r="O254" i="2"/>
  <c r="J254" i="2"/>
  <c r="I254" i="2"/>
  <c r="H254" i="2"/>
  <c r="G254" i="2"/>
  <c r="F254" i="2"/>
  <c r="AI162" i="2"/>
  <c r="AD162" i="2"/>
  <c r="Y162" i="2"/>
  <c r="T162" i="2"/>
  <c r="O162" i="2"/>
  <c r="J162" i="2"/>
  <c r="I162" i="2"/>
  <c r="H162" i="2"/>
  <c r="G162" i="2"/>
  <c r="R131" i="2" l="1"/>
  <c r="E406" i="2"/>
  <c r="E416" i="2"/>
  <c r="E417" i="2"/>
  <c r="E162" i="2"/>
  <c r="E357" i="2"/>
  <c r="E471" i="2"/>
  <c r="E448" i="2"/>
  <c r="E470" i="2"/>
  <c r="E469" i="2"/>
  <c r="E254" i="2"/>
  <c r="R151" i="2" l="1"/>
  <c r="R148" i="2" s="1"/>
  <c r="AI157" i="2" l="1"/>
  <c r="AH157" i="2"/>
  <c r="AF157" i="2"/>
  <c r="Y157" i="2"/>
  <c r="T157" i="2"/>
  <c r="O157" i="2"/>
  <c r="M157" i="2"/>
  <c r="M156" i="2" s="1"/>
  <c r="F157" i="2"/>
  <c r="I157" i="2" l="1"/>
  <c r="H157" i="2"/>
  <c r="J157" i="2"/>
  <c r="AD157" i="2"/>
  <c r="G157" i="2"/>
  <c r="H546" i="2"/>
  <c r="J546" i="2"/>
  <c r="I546" i="2"/>
  <c r="AI475" i="2"/>
  <c r="AD475" i="2"/>
  <c r="Y475" i="2"/>
  <c r="T475" i="2"/>
  <c r="O475" i="2"/>
  <c r="J475" i="2"/>
  <c r="I475" i="2"/>
  <c r="H475" i="2"/>
  <c r="G475" i="2"/>
  <c r="F475" i="2"/>
  <c r="AI474" i="2"/>
  <c r="AD474" i="2"/>
  <c r="Y474" i="2"/>
  <c r="T474" i="2"/>
  <c r="O474" i="2"/>
  <c r="J474" i="2"/>
  <c r="I474" i="2"/>
  <c r="H474" i="2"/>
  <c r="G474" i="2"/>
  <c r="F474" i="2"/>
  <c r="E157" i="2" l="1"/>
  <c r="E474" i="2"/>
  <c r="E546" i="2"/>
  <c r="E475" i="2"/>
  <c r="O546" i="2"/>
  <c r="AI415" i="2"/>
  <c r="AD415" i="2"/>
  <c r="Y415" i="2"/>
  <c r="O415" i="2"/>
  <c r="J415" i="2"/>
  <c r="I415" i="2"/>
  <c r="H415" i="2"/>
  <c r="G415" i="2"/>
  <c r="F415" i="2"/>
  <c r="AI120" i="2"/>
  <c r="AD120" i="2"/>
  <c r="Y120" i="2"/>
  <c r="T120" i="2"/>
  <c r="R120" i="2"/>
  <c r="H120" i="2" s="1"/>
  <c r="J120" i="2"/>
  <c r="I120" i="2"/>
  <c r="G120" i="2"/>
  <c r="F120" i="2"/>
  <c r="AI115" i="2"/>
  <c r="AD115" i="2"/>
  <c r="Y115" i="2"/>
  <c r="T115" i="2"/>
  <c r="R115" i="2"/>
  <c r="O115" i="2" s="1"/>
  <c r="J115" i="2"/>
  <c r="I115" i="2"/>
  <c r="G115" i="2"/>
  <c r="F115" i="2"/>
  <c r="AI50" i="2"/>
  <c r="AD50" i="2"/>
  <c r="Y50" i="2"/>
  <c r="T50" i="2"/>
  <c r="O50" i="2"/>
  <c r="J50" i="2"/>
  <c r="I50" i="2"/>
  <c r="H50" i="2"/>
  <c r="E50" i="2" s="1"/>
  <c r="G50" i="2"/>
  <c r="H115" i="2" l="1"/>
  <c r="E115" i="2" s="1"/>
  <c r="R113" i="2"/>
  <c r="O120" i="2"/>
  <c r="E415" i="2"/>
  <c r="E120" i="2"/>
  <c r="AI495" i="2" l="1"/>
  <c r="AI494" i="2" s="1"/>
  <c r="AD495" i="2"/>
  <c r="AD494" i="2" s="1"/>
  <c r="Y495" i="2"/>
  <c r="Y494" i="2" s="1"/>
  <c r="T495" i="2"/>
  <c r="T494" i="2" s="1"/>
  <c r="O495" i="2"/>
  <c r="O494" i="2" s="1"/>
  <c r="J495" i="2"/>
  <c r="J494" i="2" s="1"/>
  <c r="I495" i="2"/>
  <c r="I494" i="2" s="1"/>
  <c r="H495" i="2"/>
  <c r="G495" i="2"/>
  <c r="G494" i="2" s="1"/>
  <c r="F495" i="2"/>
  <c r="F494" i="2" s="1"/>
  <c r="AM494" i="2"/>
  <c r="AL494" i="2"/>
  <c r="AK494" i="2"/>
  <c r="AJ494" i="2"/>
  <c r="AH494" i="2"/>
  <c r="AG494" i="2"/>
  <c r="AF494" i="2"/>
  <c r="AE494" i="2"/>
  <c r="AC494" i="2"/>
  <c r="AB494" i="2"/>
  <c r="AA494" i="2"/>
  <c r="Z494" i="2"/>
  <c r="X494" i="2"/>
  <c r="W494" i="2"/>
  <c r="V494" i="2"/>
  <c r="U494" i="2"/>
  <c r="S494" i="2"/>
  <c r="R494" i="2"/>
  <c r="Q494" i="2"/>
  <c r="P494" i="2"/>
  <c r="N494" i="2"/>
  <c r="M494" i="2"/>
  <c r="L494" i="2"/>
  <c r="K494" i="2"/>
  <c r="E495" i="2" l="1"/>
  <c r="E494" i="2" s="1"/>
  <c r="H494" i="2"/>
  <c r="R427" i="2"/>
  <c r="F430" i="2"/>
  <c r="G430" i="2"/>
  <c r="H430" i="2"/>
  <c r="I430" i="2"/>
  <c r="J430" i="2"/>
  <c r="O430" i="2"/>
  <c r="T430" i="2"/>
  <c r="Y430" i="2"/>
  <c r="AD430" i="2"/>
  <c r="AI430" i="2"/>
  <c r="E430" i="2" l="1"/>
  <c r="AI151" i="2" l="1"/>
  <c r="AD151" i="2"/>
  <c r="Y151" i="2"/>
  <c r="T151" i="2"/>
  <c r="O151" i="2"/>
  <c r="J151" i="2"/>
  <c r="I151" i="2"/>
  <c r="H151" i="2"/>
  <c r="G151" i="2"/>
  <c r="R19" i="2"/>
  <c r="R18" i="2"/>
  <c r="R17" i="2"/>
  <c r="R16" i="2"/>
  <c r="R11" i="2" s="1"/>
  <c r="E151" i="2" l="1"/>
  <c r="K492" i="2"/>
  <c r="L492" i="2"/>
  <c r="M492" i="2"/>
  <c r="N492" i="2"/>
  <c r="P492" i="2"/>
  <c r="Q492" i="2"/>
  <c r="R492" i="2"/>
  <c r="S492" i="2"/>
  <c r="U492" i="2"/>
  <c r="V492" i="2"/>
  <c r="W492" i="2"/>
  <c r="X492" i="2"/>
  <c r="Z492" i="2"/>
  <c r="AA492" i="2"/>
  <c r="AB492" i="2"/>
  <c r="AC492" i="2"/>
  <c r="AE492" i="2"/>
  <c r="AF492" i="2"/>
  <c r="AG492" i="2"/>
  <c r="AH492" i="2"/>
  <c r="AJ492" i="2"/>
  <c r="AK492" i="2"/>
  <c r="AL492" i="2"/>
  <c r="AM492" i="2"/>
  <c r="AI192" i="2" l="1"/>
  <c r="AD192" i="2"/>
  <c r="Y192" i="2"/>
  <c r="T192" i="2"/>
  <c r="O192" i="2"/>
  <c r="J192" i="2"/>
  <c r="I192" i="2"/>
  <c r="H192" i="2"/>
  <c r="G192" i="2"/>
  <c r="F192" i="2"/>
  <c r="AI472" i="2"/>
  <c r="AD472" i="2"/>
  <c r="Y472" i="2"/>
  <c r="T472" i="2"/>
  <c r="O472" i="2"/>
  <c r="J472" i="2"/>
  <c r="I472" i="2"/>
  <c r="H472" i="2"/>
  <c r="G472" i="2"/>
  <c r="F472" i="2"/>
  <c r="E192" i="2" l="1"/>
  <c r="E472" i="2"/>
  <c r="AI46" i="2"/>
  <c r="AD46" i="2"/>
  <c r="Y46" i="2"/>
  <c r="T46" i="2"/>
  <c r="O46" i="2"/>
  <c r="J46" i="2"/>
  <c r="I46" i="2"/>
  <c r="H46" i="2"/>
  <c r="E46" i="2" s="1"/>
  <c r="G46" i="2"/>
  <c r="AJ99" i="2"/>
  <c r="AE99" i="2" s="1"/>
  <c r="O99" i="2"/>
  <c r="N99" i="2"/>
  <c r="I99" i="2" s="1"/>
  <c r="H99" i="2"/>
  <c r="E99" i="2" s="1"/>
  <c r="G99" i="2"/>
  <c r="AI359" i="2"/>
  <c r="AD359" i="2"/>
  <c r="Y359" i="2"/>
  <c r="T359" i="2"/>
  <c r="O359" i="2"/>
  <c r="J359" i="2"/>
  <c r="I359" i="2"/>
  <c r="H359" i="2"/>
  <c r="G359" i="2"/>
  <c r="F359" i="2"/>
  <c r="AI47" i="2"/>
  <c r="AD47" i="2"/>
  <c r="Y47" i="2"/>
  <c r="T47" i="2"/>
  <c r="O47" i="2"/>
  <c r="J47" i="2"/>
  <c r="I47" i="2"/>
  <c r="H47" i="2"/>
  <c r="E47" i="2" s="1"/>
  <c r="AI412" i="2"/>
  <c r="AD412" i="2"/>
  <c r="Y412" i="2"/>
  <c r="O412" i="2"/>
  <c r="J412" i="2"/>
  <c r="I412" i="2"/>
  <c r="H412" i="2"/>
  <c r="G412" i="2"/>
  <c r="F412" i="2"/>
  <c r="AI411" i="2"/>
  <c r="AD411" i="2"/>
  <c r="Y411" i="2"/>
  <c r="O411" i="2"/>
  <c r="J411" i="2"/>
  <c r="I411" i="2"/>
  <c r="H411" i="2"/>
  <c r="G411" i="2"/>
  <c r="F411" i="2"/>
  <c r="AI413" i="2"/>
  <c r="AD413" i="2"/>
  <c r="Y413" i="2"/>
  <c r="O413" i="2"/>
  <c r="J413" i="2"/>
  <c r="I413" i="2"/>
  <c r="H413" i="2"/>
  <c r="G413" i="2"/>
  <c r="F413" i="2"/>
  <c r="E411" i="2" l="1"/>
  <c r="E413" i="2"/>
  <c r="J99" i="2"/>
  <c r="E359" i="2"/>
  <c r="AI99" i="2"/>
  <c r="Z99" i="2"/>
  <c r="Y99" i="2" s="1"/>
  <c r="AD99" i="2"/>
  <c r="E412" i="2"/>
  <c r="AI103" i="2"/>
  <c r="AD103" i="2"/>
  <c r="Y103" i="2"/>
  <c r="T103" i="2"/>
  <c r="O103" i="2"/>
  <c r="J103" i="2"/>
  <c r="I103" i="2"/>
  <c r="H103" i="2"/>
  <c r="G103" i="2"/>
  <c r="AI468" i="2"/>
  <c r="AD468" i="2"/>
  <c r="Y468" i="2"/>
  <c r="T468" i="2"/>
  <c r="O468" i="2"/>
  <c r="J468" i="2"/>
  <c r="I468" i="2"/>
  <c r="H468" i="2"/>
  <c r="G468" i="2"/>
  <c r="F468" i="2"/>
  <c r="R256" i="2"/>
  <c r="E103" i="2" l="1"/>
  <c r="U99" i="2"/>
  <c r="E468" i="2"/>
  <c r="AI431" i="2"/>
  <c r="AD431" i="2"/>
  <c r="Y431" i="2"/>
  <c r="T431" i="2"/>
  <c r="O431" i="2"/>
  <c r="J431" i="2"/>
  <c r="I431" i="2"/>
  <c r="H431" i="2"/>
  <c r="G431" i="2"/>
  <c r="F431" i="2"/>
  <c r="AI491" i="2"/>
  <c r="AD491" i="2"/>
  <c r="Y491" i="2"/>
  <c r="T491" i="2"/>
  <c r="O491" i="2"/>
  <c r="J491" i="2"/>
  <c r="I491" i="2"/>
  <c r="H491" i="2"/>
  <c r="G491" i="2"/>
  <c r="F491" i="2"/>
  <c r="AI360" i="2"/>
  <c r="AD360" i="2"/>
  <c r="Y360" i="2"/>
  <c r="T360" i="2"/>
  <c r="O360" i="2"/>
  <c r="J360" i="2"/>
  <c r="I360" i="2"/>
  <c r="H360" i="2"/>
  <c r="G360" i="2"/>
  <c r="F360" i="2"/>
  <c r="AI414" i="2"/>
  <c r="AD414" i="2"/>
  <c r="Y414" i="2"/>
  <c r="O414" i="2"/>
  <c r="J414" i="2"/>
  <c r="I414" i="2"/>
  <c r="H414" i="2"/>
  <c r="H409" i="2" s="1"/>
  <c r="G414" i="2"/>
  <c r="F414" i="2"/>
  <c r="AI410" i="2"/>
  <c r="AI409" i="2" s="1"/>
  <c r="AD410" i="2"/>
  <c r="Y410" i="2"/>
  <c r="O410" i="2"/>
  <c r="J410" i="2"/>
  <c r="I410" i="2"/>
  <c r="G410" i="2"/>
  <c r="G409" i="2" s="1"/>
  <c r="F410" i="2"/>
  <c r="F409" i="2" s="1"/>
  <c r="AI358" i="2"/>
  <c r="AD358" i="2"/>
  <c r="Y358" i="2"/>
  <c r="T358" i="2"/>
  <c r="O358" i="2"/>
  <c r="M358" i="2"/>
  <c r="J358" i="2" s="1"/>
  <c r="I358" i="2"/>
  <c r="G358" i="2"/>
  <c r="F358" i="2"/>
  <c r="AD409" i="2" l="1"/>
  <c r="O409" i="2"/>
  <c r="I409" i="2"/>
  <c r="Y409" i="2"/>
  <c r="J409" i="2"/>
  <c r="E410" i="2"/>
  <c r="E409" i="2" s="1"/>
  <c r="T99" i="2"/>
  <c r="F99" i="2"/>
  <c r="E360" i="2"/>
  <c r="H358" i="2"/>
  <c r="E358" i="2" s="1"/>
  <c r="E491" i="2"/>
  <c r="E431" i="2"/>
  <c r="E414" i="2"/>
  <c r="AI449" i="2"/>
  <c r="AD449" i="2"/>
  <c r="Y449" i="2"/>
  <c r="T449" i="2"/>
  <c r="O449" i="2"/>
  <c r="J449" i="2"/>
  <c r="I449" i="2"/>
  <c r="H449" i="2"/>
  <c r="G449" i="2"/>
  <c r="E449" i="2" l="1"/>
  <c r="R258" i="2"/>
  <c r="R252" i="2" s="1"/>
  <c r="AI160" i="2"/>
  <c r="AD160" i="2"/>
  <c r="Y160" i="2"/>
  <c r="T160" i="2"/>
  <c r="O160" i="2"/>
  <c r="J160" i="2"/>
  <c r="I160" i="2"/>
  <c r="H160" i="2"/>
  <c r="G160" i="2"/>
  <c r="AI49" i="2"/>
  <c r="AD49" i="2"/>
  <c r="Y49" i="2"/>
  <c r="T49" i="2"/>
  <c r="O49" i="2"/>
  <c r="J49" i="2"/>
  <c r="I49" i="2"/>
  <c r="H49" i="2"/>
  <c r="E49" i="2" s="1"/>
  <c r="G49" i="2"/>
  <c r="AI48" i="2"/>
  <c r="AD48" i="2"/>
  <c r="Y48" i="2"/>
  <c r="T48" i="2"/>
  <c r="O48" i="2"/>
  <c r="J48" i="2"/>
  <c r="I48" i="2"/>
  <c r="H48" i="2"/>
  <c r="E48" i="2" s="1"/>
  <c r="G48" i="2"/>
  <c r="E160" i="2" l="1"/>
  <c r="T19" i="2"/>
  <c r="H19" i="2"/>
  <c r="J19" i="2"/>
  <c r="I19" i="2"/>
  <c r="G19" i="2"/>
  <c r="AI81" i="2"/>
  <c r="AD81" i="2"/>
  <c r="T81" i="2"/>
  <c r="O81" i="2"/>
  <c r="J81" i="2"/>
  <c r="I81" i="2"/>
  <c r="H81" i="2"/>
  <c r="G81" i="2"/>
  <c r="F81" i="2"/>
  <c r="AJ98" i="2"/>
  <c r="AI98" i="2" s="1"/>
  <c r="R98" i="2"/>
  <c r="H98" i="2" s="1"/>
  <c r="E98" i="2" s="1"/>
  <c r="N98" i="2"/>
  <c r="J98" i="2" s="1"/>
  <c r="G98" i="2"/>
  <c r="R97" i="2"/>
  <c r="O98" i="2" l="1"/>
  <c r="R93" i="2"/>
  <c r="O19" i="2"/>
  <c r="E81" i="2"/>
  <c r="I98" i="2"/>
  <c r="E19" i="2"/>
  <c r="AE98" i="2"/>
  <c r="AD98" i="2" s="1"/>
  <c r="Z98" i="2" l="1"/>
  <c r="Y98" i="2" s="1"/>
  <c r="AI493" i="2"/>
  <c r="AI492" i="2" s="1"/>
  <c r="AD493" i="2"/>
  <c r="AD492" i="2" s="1"/>
  <c r="Y493" i="2"/>
  <c r="Y492" i="2" s="1"/>
  <c r="T493" i="2"/>
  <c r="T492" i="2" s="1"/>
  <c r="O493" i="2"/>
  <c r="O492" i="2" s="1"/>
  <c r="J493" i="2"/>
  <c r="J492" i="2" s="1"/>
  <c r="I493" i="2"/>
  <c r="I492" i="2" s="1"/>
  <c r="H493" i="2"/>
  <c r="H492" i="2" s="1"/>
  <c r="G493" i="2"/>
  <c r="G492" i="2" s="1"/>
  <c r="F493" i="2"/>
  <c r="F492" i="2" s="1"/>
  <c r="R366" i="2"/>
  <c r="AI80" i="2"/>
  <c r="AD80" i="2"/>
  <c r="T80" i="2"/>
  <c r="O80" i="2"/>
  <c r="J80" i="2"/>
  <c r="I80" i="2"/>
  <c r="H80" i="2"/>
  <c r="G80" i="2"/>
  <c r="F80" i="2"/>
  <c r="AI447" i="2"/>
  <c r="AD447" i="2"/>
  <c r="Y447" i="2"/>
  <c r="T447" i="2"/>
  <c r="O447" i="2"/>
  <c r="J447" i="2"/>
  <c r="I447" i="2"/>
  <c r="H447" i="2"/>
  <c r="G447" i="2"/>
  <c r="E493" i="2" l="1"/>
  <c r="E492" i="2" s="1"/>
  <c r="U98" i="2"/>
  <c r="E447" i="2"/>
  <c r="E80" i="2"/>
  <c r="T17" i="2"/>
  <c r="T18" i="2"/>
  <c r="T20" i="2"/>
  <c r="T16" i="2"/>
  <c r="I16" i="2"/>
  <c r="J16" i="2"/>
  <c r="I17" i="2"/>
  <c r="J17" i="2"/>
  <c r="I18" i="2"/>
  <c r="J18" i="2"/>
  <c r="I20" i="2"/>
  <c r="J20" i="2"/>
  <c r="G20" i="2"/>
  <c r="H17" i="2"/>
  <c r="G17" i="2"/>
  <c r="H16" i="2"/>
  <c r="G16" i="2"/>
  <c r="H18" i="2"/>
  <c r="O17" i="2"/>
  <c r="O18" i="2"/>
  <c r="O16" i="2"/>
  <c r="E20" i="2" l="1"/>
  <c r="T98" i="2"/>
  <c r="F98" i="2"/>
  <c r="E17" i="2"/>
  <c r="E16" i="2"/>
  <c r="G18" i="2"/>
  <c r="E18" i="2" s="1"/>
  <c r="F545" i="2"/>
  <c r="K545" i="2"/>
  <c r="L545" i="2"/>
  <c r="M545" i="2"/>
  <c r="N545" i="2"/>
  <c r="P545" i="2"/>
  <c r="Q545" i="2"/>
  <c r="R545" i="2"/>
  <c r="AM545" i="2"/>
  <c r="AL545" i="2"/>
  <c r="AK545" i="2"/>
  <c r="AJ545" i="2"/>
  <c r="AI545" i="2"/>
  <c r="AH545" i="2"/>
  <c r="AG545" i="2"/>
  <c r="AF545" i="2"/>
  <c r="AE545" i="2"/>
  <c r="AD545" i="2"/>
  <c r="AC545" i="2"/>
  <c r="AB545" i="2"/>
  <c r="AA545" i="2"/>
  <c r="Z545" i="2"/>
  <c r="Y545" i="2"/>
  <c r="X545" i="2"/>
  <c r="W545" i="2"/>
  <c r="V545" i="2"/>
  <c r="U545" i="2"/>
  <c r="S545" i="2"/>
  <c r="AM329" i="2"/>
  <c r="AL329" i="2"/>
  <c r="AK329" i="2"/>
  <c r="AH329" i="2"/>
  <c r="AG329" i="2"/>
  <c r="AF329" i="2"/>
  <c r="AC329" i="2"/>
  <c r="AB329" i="2"/>
  <c r="AA329" i="2"/>
  <c r="X329" i="2"/>
  <c r="V329" i="2"/>
  <c r="S329" i="2"/>
  <c r="Q329" i="2"/>
  <c r="P329" i="2"/>
  <c r="N329" i="2"/>
  <c r="K329" i="2"/>
  <c r="G330" i="2"/>
  <c r="G332" i="2"/>
  <c r="G333" i="2"/>
  <c r="G334" i="2"/>
  <c r="G335" i="2"/>
  <c r="G336" i="2"/>
  <c r="G337" i="2"/>
  <c r="G338" i="2"/>
  <c r="H332" i="2"/>
  <c r="H333" i="2"/>
  <c r="H334" i="2"/>
  <c r="H335" i="2"/>
  <c r="H336" i="2"/>
  <c r="H337" i="2"/>
  <c r="H338" i="2"/>
  <c r="I338" i="2"/>
  <c r="O338" i="2"/>
  <c r="G545" i="2" l="1"/>
  <c r="O545" i="2"/>
  <c r="I545" i="2"/>
  <c r="J545" i="2"/>
  <c r="H545" i="2"/>
  <c r="E338" i="2"/>
  <c r="E545" i="2" l="1"/>
  <c r="M146" i="2"/>
  <c r="AI387" i="2" l="1"/>
  <c r="AI540" i="2" l="1"/>
  <c r="AD540" i="2"/>
  <c r="Y540" i="2"/>
  <c r="T540" i="2"/>
  <c r="O540" i="2"/>
  <c r="N540" i="2"/>
  <c r="I540" i="2" s="1"/>
  <c r="M540" i="2"/>
  <c r="H540" i="2" s="1"/>
  <c r="G540" i="2"/>
  <c r="E540" i="2" l="1"/>
  <c r="J540" i="2"/>
  <c r="R424" i="2"/>
  <c r="M253" i="2" l="1"/>
  <c r="AI43" i="2"/>
  <c r="AD43" i="2"/>
  <c r="Y43" i="2"/>
  <c r="T43" i="2"/>
  <c r="O43" i="2"/>
  <c r="J43" i="2"/>
  <c r="I43" i="2"/>
  <c r="H43" i="2"/>
  <c r="E43" i="2" s="1"/>
  <c r="G43" i="2"/>
  <c r="T516" i="2" l="1"/>
  <c r="T517" i="2"/>
  <c r="T518" i="2"/>
  <c r="T519" i="2"/>
  <c r="T521" i="2"/>
  <c r="T522" i="2"/>
  <c r="T523" i="2"/>
  <c r="T524" i="2"/>
  <c r="T525" i="2"/>
  <c r="T526" i="2"/>
  <c r="T527" i="2"/>
  <c r="T528" i="2"/>
  <c r="T529" i="2"/>
  <c r="T530" i="2"/>
  <c r="T531" i="2"/>
  <c r="T532" i="2"/>
  <c r="AD222" i="2" l="1"/>
  <c r="AD223" i="2"/>
  <c r="AD224" i="2"/>
  <c r="AD228" i="2"/>
  <c r="AD245" i="2"/>
  <c r="AD246" i="2"/>
  <c r="AD237" i="2" s="1"/>
  <c r="AD225" i="2"/>
  <c r="AI222" i="2"/>
  <c r="AI223" i="2"/>
  <c r="AI224" i="2"/>
  <c r="AI228" i="2"/>
  <c r="AI245" i="2"/>
  <c r="AI246" i="2"/>
  <c r="AI237" i="2" s="1"/>
  <c r="AI225" i="2"/>
  <c r="Y222" i="2"/>
  <c r="Y223" i="2"/>
  <c r="Y224" i="2"/>
  <c r="Y228" i="2"/>
  <c r="Y245" i="2"/>
  <c r="Y246" i="2"/>
  <c r="T225" i="2"/>
  <c r="T222" i="2"/>
  <c r="T223" i="2"/>
  <c r="T224" i="2"/>
  <c r="T228" i="2"/>
  <c r="T245" i="2"/>
  <c r="T246" i="2"/>
  <c r="O222" i="2"/>
  <c r="O223" i="2"/>
  <c r="O224" i="2"/>
  <c r="O228" i="2"/>
  <c r="O245" i="2"/>
  <c r="O246" i="2"/>
  <c r="O225" i="2"/>
  <c r="M222" i="2"/>
  <c r="J228" i="2"/>
  <c r="J245" i="2"/>
  <c r="J246" i="2"/>
  <c r="J225" i="2"/>
  <c r="I222" i="2"/>
  <c r="I228" i="2"/>
  <c r="I245" i="2"/>
  <c r="I246" i="2"/>
  <c r="I225" i="2"/>
  <c r="H228" i="2"/>
  <c r="H245" i="2"/>
  <c r="H246" i="2"/>
  <c r="G222" i="2"/>
  <c r="G223" i="2"/>
  <c r="G224" i="2"/>
  <c r="G228" i="2"/>
  <c r="G245" i="2"/>
  <c r="G246" i="2"/>
  <c r="G225" i="2"/>
  <c r="AI255" i="2"/>
  <c r="AI256" i="2"/>
  <c r="AI257" i="2"/>
  <c r="AI258" i="2"/>
  <c r="AI259" i="2"/>
  <c r="AI260" i="2"/>
  <c r="AI261" i="2"/>
  <c r="AI262" i="2"/>
  <c r="AI263" i="2"/>
  <c r="AI264" i="2"/>
  <c r="AI265" i="2"/>
  <c r="AI266" i="2"/>
  <c r="AI267" i="2"/>
  <c r="AI268" i="2"/>
  <c r="AI269" i="2"/>
  <c r="AI270" i="2"/>
  <c r="AI271" i="2"/>
  <c r="AI272" i="2"/>
  <c r="AI273" i="2"/>
  <c r="AD255" i="2"/>
  <c r="AD256" i="2"/>
  <c r="AD257" i="2"/>
  <c r="AD258" i="2"/>
  <c r="AD259" i="2"/>
  <c r="AD260" i="2"/>
  <c r="AD261" i="2"/>
  <c r="AD262" i="2"/>
  <c r="AD263" i="2"/>
  <c r="AD264" i="2"/>
  <c r="AD265" i="2"/>
  <c r="AD266" i="2"/>
  <c r="AD267" i="2"/>
  <c r="AD268" i="2"/>
  <c r="AD269" i="2"/>
  <c r="AD270" i="2"/>
  <c r="AD271" i="2"/>
  <c r="AD272" i="2"/>
  <c r="AD273" i="2"/>
  <c r="Y255" i="2"/>
  <c r="Y256" i="2"/>
  <c r="Y257" i="2"/>
  <c r="Y258" i="2"/>
  <c r="Y259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O255" i="2"/>
  <c r="O256" i="2"/>
  <c r="O257" i="2"/>
  <c r="O258" i="2"/>
  <c r="O259" i="2"/>
  <c r="O260" i="2"/>
  <c r="O261" i="2"/>
  <c r="O262" i="2"/>
  <c r="O263" i="2"/>
  <c r="O265" i="2"/>
  <c r="O266" i="2"/>
  <c r="O267" i="2"/>
  <c r="O268" i="2"/>
  <c r="O269" i="2"/>
  <c r="O270" i="2"/>
  <c r="O271" i="2"/>
  <c r="O272" i="2"/>
  <c r="O273" i="2"/>
  <c r="M349" i="2"/>
  <c r="J349" i="2" s="1"/>
  <c r="O253" i="2"/>
  <c r="J255" i="2"/>
  <c r="J256" i="2"/>
  <c r="J257" i="2"/>
  <c r="J258" i="2"/>
  <c r="J259" i="2"/>
  <c r="J260" i="2"/>
  <c r="J261" i="2"/>
  <c r="J262" i="2"/>
  <c r="J263" i="2"/>
  <c r="J264" i="2"/>
  <c r="J265" i="2"/>
  <c r="J271" i="2"/>
  <c r="J272" i="2"/>
  <c r="J273" i="2"/>
  <c r="I255" i="2"/>
  <c r="I256" i="2"/>
  <c r="I257" i="2"/>
  <c r="I258" i="2"/>
  <c r="I259" i="2"/>
  <c r="I260" i="2"/>
  <c r="I261" i="2"/>
  <c r="I262" i="2"/>
  <c r="I263" i="2"/>
  <c r="I264" i="2"/>
  <c r="I265" i="2"/>
  <c r="I271" i="2"/>
  <c r="I272" i="2"/>
  <c r="I273" i="2"/>
  <c r="I253" i="2"/>
  <c r="H255" i="2"/>
  <c r="H256" i="2"/>
  <c r="H257" i="2"/>
  <c r="H258" i="2"/>
  <c r="H259" i="2"/>
  <c r="H260" i="2"/>
  <c r="H261" i="2"/>
  <c r="H262" i="2"/>
  <c r="H263" i="2"/>
  <c r="H265" i="2"/>
  <c r="H271" i="2"/>
  <c r="H272" i="2"/>
  <c r="H273" i="2"/>
  <c r="H253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53" i="2"/>
  <c r="AI282" i="2"/>
  <c r="AI283" i="2"/>
  <c r="AI284" i="2"/>
  <c r="AI285" i="2"/>
  <c r="AI286" i="2"/>
  <c r="AI317" i="2"/>
  <c r="AI318" i="2"/>
  <c r="AI319" i="2"/>
  <c r="AI320" i="2"/>
  <c r="AI321" i="2"/>
  <c r="AI322" i="2"/>
  <c r="AI323" i="2"/>
  <c r="AI324" i="2"/>
  <c r="AI325" i="2"/>
  <c r="AI281" i="2"/>
  <c r="AD282" i="2"/>
  <c r="AD283" i="2"/>
  <c r="AD284" i="2"/>
  <c r="AD285" i="2"/>
  <c r="AD286" i="2"/>
  <c r="AD317" i="2"/>
  <c r="AD318" i="2"/>
  <c r="AD319" i="2"/>
  <c r="AD320" i="2"/>
  <c r="AD321" i="2"/>
  <c r="AD322" i="2"/>
  <c r="AD323" i="2"/>
  <c r="AD324" i="2"/>
  <c r="AD325" i="2"/>
  <c r="Y282" i="2"/>
  <c r="Y283" i="2"/>
  <c r="Y284" i="2"/>
  <c r="Y285" i="2"/>
  <c r="Y286" i="2"/>
  <c r="Y317" i="2"/>
  <c r="Y318" i="2"/>
  <c r="Y319" i="2"/>
  <c r="Y320" i="2"/>
  <c r="Y321" i="2"/>
  <c r="Y322" i="2"/>
  <c r="Y323" i="2"/>
  <c r="Y324" i="2"/>
  <c r="Y325" i="2"/>
  <c r="Y281" i="2"/>
  <c r="AD281" i="2"/>
  <c r="T282" i="2"/>
  <c r="T283" i="2"/>
  <c r="T284" i="2"/>
  <c r="T285" i="2"/>
  <c r="T286" i="2"/>
  <c r="T317" i="2"/>
  <c r="T318" i="2"/>
  <c r="T319" i="2"/>
  <c r="T320" i="2"/>
  <c r="T321" i="2"/>
  <c r="T322" i="2"/>
  <c r="T323" i="2"/>
  <c r="T324" i="2"/>
  <c r="T325" i="2"/>
  <c r="T281" i="2"/>
  <c r="O282" i="2"/>
  <c r="O283" i="2"/>
  <c r="O284" i="2"/>
  <c r="O285" i="2"/>
  <c r="O286" i="2"/>
  <c r="O317" i="2"/>
  <c r="O318" i="2"/>
  <c r="O319" i="2"/>
  <c r="O320" i="2"/>
  <c r="O321" i="2"/>
  <c r="O322" i="2"/>
  <c r="O323" i="2"/>
  <c r="O324" i="2"/>
  <c r="O325" i="2"/>
  <c r="J282" i="2"/>
  <c r="J284" i="2"/>
  <c r="J285" i="2"/>
  <c r="J286" i="2"/>
  <c r="J317" i="2"/>
  <c r="J318" i="2"/>
  <c r="J319" i="2"/>
  <c r="J320" i="2"/>
  <c r="J321" i="2"/>
  <c r="J322" i="2"/>
  <c r="J323" i="2"/>
  <c r="J324" i="2"/>
  <c r="J325" i="2"/>
  <c r="I284" i="2"/>
  <c r="I285" i="2"/>
  <c r="I286" i="2"/>
  <c r="I317" i="2"/>
  <c r="I318" i="2"/>
  <c r="I319" i="2"/>
  <c r="I320" i="2"/>
  <c r="I321" i="2"/>
  <c r="I322" i="2"/>
  <c r="I323" i="2"/>
  <c r="I324" i="2"/>
  <c r="I325" i="2"/>
  <c r="I282" i="2"/>
  <c r="I281" i="2"/>
  <c r="H282" i="2"/>
  <c r="H284" i="2"/>
  <c r="H285" i="2"/>
  <c r="H286" i="2"/>
  <c r="H318" i="2"/>
  <c r="H319" i="2"/>
  <c r="H320" i="2"/>
  <c r="H321" i="2"/>
  <c r="H322" i="2"/>
  <c r="H323" i="2"/>
  <c r="H324" i="2"/>
  <c r="H325" i="2"/>
  <c r="G282" i="2"/>
  <c r="G283" i="2"/>
  <c r="G284" i="2"/>
  <c r="G285" i="2"/>
  <c r="G286" i="2"/>
  <c r="G317" i="2"/>
  <c r="G318" i="2"/>
  <c r="G319" i="2"/>
  <c r="G320" i="2"/>
  <c r="G321" i="2"/>
  <c r="G322" i="2"/>
  <c r="G323" i="2"/>
  <c r="G324" i="2"/>
  <c r="G325" i="2"/>
  <c r="K280" i="2"/>
  <c r="P280" i="2"/>
  <c r="U280" i="2"/>
  <c r="V280" i="2"/>
  <c r="Z280" i="2"/>
  <c r="AA280" i="2"/>
  <c r="AE280" i="2"/>
  <c r="AF280" i="2"/>
  <c r="AG280" i="2"/>
  <c r="AH280" i="2"/>
  <c r="AJ280" i="2"/>
  <c r="AK280" i="2"/>
  <c r="AL280" i="2"/>
  <c r="AM280" i="2"/>
  <c r="Y331" i="2"/>
  <c r="Y332" i="2"/>
  <c r="Y333" i="2"/>
  <c r="Y334" i="2"/>
  <c r="Y335" i="2"/>
  <c r="Y336" i="2"/>
  <c r="Y337" i="2"/>
  <c r="Y330" i="2"/>
  <c r="AD331" i="2"/>
  <c r="AD332" i="2"/>
  <c r="AD333" i="2"/>
  <c r="AD334" i="2"/>
  <c r="AD335" i="2"/>
  <c r="AD336" i="2"/>
  <c r="AD337" i="2"/>
  <c r="AD330" i="2"/>
  <c r="AI331" i="2"/>
  <c r="AI332" i="2"/>
  <c r="AI333" i="2"/>
  <c r="AI334" i="2"/>
  <c r="AI335" i="2"/>
  <c r="AI336" i="2"/>
  <c r="AI337" i="2"/>
  <c r="AI330" i="2"/>
  <c r="T331" i="2"/>
  <c r="T332" i="2"/>
  <c r="T333" i="2"/>
  <c r="T334" i="2"/>
  <c r="T335" i="2"/>
  <c r="T336" i="2"/>
  <c r="T337" i="2"/>
  <c r="T330" i="2"/>
  <c r="O331" i="2"/>
  <c r="O332" i="2"/>
  <c r="O333" i="2"/>
  <c r="O334" i="2"/>
  <c r="O335" i="2"/>
  <c r="O336" i="2"/>
  <c r="O337" i="2"/>
  <c r="O330" i="2"/>
  <c r="J332" i="2"/>
  <c r="J333" i="2"/>
  <c r="J334" i="2"/>
  <c r="J335" i="2"/>
  <c r="J336" i="2"/>
  <c r="J337" i="2"/>
  <c r="I331" i="2"/>
  <c r="I332" i="2"/>
  <c r="I333" i="2"/>
  <c r="I334" i="2"/>
  <c r="I335" i="2"/>
  <c r="I336" i="2"/>
  <c r="I337" i="2"/>
  <c r="I330" i="2"/>
  <c r="U329" i="2"/>
  <c r="Z329" i="2"/>
  <c r="AE329" i="2"/>
  <c r="AJ329" i="2"/>
  <c r="I341" i="2"/>
  <c r="H341" i="2"/>
  <c r="G341" i="2"/>
  <c r="T344" i="2"/>
  <c r="T345" i="2"/>
  <c r="T346" i="2"/>
  <c r="T347" i="2"/>
  <c r="T348" i="2"/>
  <c r="T349" i="2"/>
  <c r="T350" i="2"/>
  <c r="T351" i="2"/>
  <c r="T352" i="2"/>
  <c r="O344" i="2"/>
  <c r="O345" i="2"/>
  <c r="O346" i="2"/>
  <c r="O347" i="2"/>
  <c r="O348" i="2"/>
  <c r="O349" i="2"/>
  <c r="O350" i="2"/>
  <c r="O351" i="2"/>
  <c r="O352" i="2"/>
  <c r="J344" i="2"/>
  <c r="J345" i="2"/>
  <c r="J346" i="2"/>
  <c r="J347" i="2"/>
  <c r="J348" i="2"/>
  <c r="J351" i="2"/>
  <c r="J352" i="2"/>
  <c r="I344" i="2"/>
  <c r="I345" i="2"/>
  <c r="I346" i="2"/>
  <c r="I347" i="2"/>
  <c r="I348" i="2"/>
  <c r="I349" i="2"/>
  <c r="I350" i="2"/>
  <c r="I351" i="2"/>
  <c r="I352" i="2"/>
  <c r="I343" i="2"/>
  <c r="H345" i="2"/>
  <c r="H346" i="2"/>
  <c r="H347" i="2"/>
  <c r="H348" i="2"/>
  <c r="H351" i="2"/>
  <c r="H352" i="2"/>
  <c r="H344" i="2"/>
  <c r="H343" i="2"/>
  <c r="G344" i="2"/>
  <c r="G345" i="2"/>
  <c r="G346" i="2"/>
  <c r="G347" i="2"/>
  <c r="G348" i="2"/>
  <c r="G349" i="2"/>
  <c r="G350" i="2"/>
  <c r="G351" i="2"/>
  <c r="G352" i="2"/>
  <c r="G343" i="2"/>
  <c r="AM342" i="2"/>
  <c r="K342" i="2"/>
  <c r="L342" i="2"/>
  <c r="N342" i="2"/>
  <c r="P342" i="2"/>
  <c r="Q342" i="2"/>
  <c r="R342" i="2"/>
  <c r="S342" i="2"/>
  <c r="U342" i="2"/>
  <c r="V342" i="2"/>
  <c r="X342" i="2"/>
  <c r="Z342" i="2"/>
  <c r="AA342" i="2"/>
  <c r="AB342" i="2"/>
  <c r="AC342" i="2"/>
  <c r="AE342" i="2"/>
  <c r="AF342" i="2"/>
  <c r="AG342" i="2"/>
  <c r="AH342" i="2"/>
  <c r="AJ342" i="2"/>
  <c r="AK342" i="2"/>
  <c r="AL342" i="2"/>
  <c r="AD361" i="2"/>
  <c r="AD355" i="2"/>
  <c r="AD356" i="2"/>
  <c r="AI355" i="2"/>
  <c r="AI356" i="2"/>
  <c r="AI361" i="2"/>
  <c r="Y355" i="2"/>
  <c r="Y356" i="2"/>
  <c r="Y361" i="2"/>
  <c r="T355" i="2"/>
  <c r="T356" i="2"/>
  <c r="T361" i="2"/>
  <c r="O355" i="2"/>
  <c r="O356" i="2"/>
  <c r="O361" i="2"/>
  <c r="J355" i="2"/>
  <c r="J356" i="2"/>
  <c r="I361" i="2"/>
  <c r="I355" i="2"/>
  <c r="I356" i="2"/>
  <c r="I354" i="2"/>
  <c r="H355" i="2"/>
  <c r="H356" i="2"/>
  <c r="H354" i="2"/>
  <c r="G355" i="2"/>
  <c r="G356" i="2"/>
  <c r="G361" i="2"/>
  <c r="G354" i="2"/>
  <c r="K353" i="2"/>
  <c r="L353" i="2"/>
  <c r="N353" i="2"/>
  <c r="P353" i="2"/>
  <c r="Q353" i="2"/>
  <c r="S353" i="2"/>
  <c r="U353" i="2"/>
  <c r="V353" i="2"/>
  <c r="W353" i="2"/>
  <c r="X353" i="2"/>
  <c r="Z353" i="2"/>
  <c r="AA353" i="2"/>
  <c r="AB353" i="2"/>
  <c r="AC353" i="2"/>
  <c r="AE353" i="2"/>
  <c r="AF353" i="2"/>
  <c r="AG353" i="2"/>
  <c r="AH353" i="2"/>
  <c r="AJ353" i="2"/>
  <c r="AK353" i="2"/>
  <c r="AL353" i="2"/>
  <c r="AM353" i="2"/>
  <c r="J367" i="2"/>
  <c r="J368" i="2"/>
  <c r="J369" i="2"/>
  <c r="J370" i="2"/>
  <c r="J372" i="2"/>
  <c r="J373" i="2"/>
  <c r="J374" i="2"/>
  <c r="J377" i="2"/>
  <c r="J379" i="2"/>
  <c r="J380" i="2"/>
  <c r="J381" i="2"/>
  <c r="J382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65" i="2"/>
  <c r="H370" i="2"/>
  <c r="H372" i="2"/>
  <c r="H373" i="2"/>
  <c r="H374" i="2"/>
  <c r="H377" i="2"/>
  <c r="H379" i="2"/>
  <c r="H380" i="2"/>
  <c r="H381" i="2"/>
  <c r="H382" i="2"/>
  <c r="H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65" i="2"/>
  <c r="K364" i="2"/>
  <c r="L364" i="2"/>
  <c r="N364" i="2"/>
  <c r="P364" i="2"/>
  <c r="Q364" i="2"/>
  <c r="R364" i="2"/>
  <c r="S364" i="2"/>
  <c r="U364" i="2"/>
  <c r="V364" i="2"/>
  <c r="W364" i="2"/>
  <c r="X364" i="2"/>
  <c r="Z364" i="2"/>
  <c r="AA364" i="2"/>
  <c r="AB364" i="2"/>
  <c r="AC364" i="2"/>
  <c r="AE364" i="2"/>
  <c r="AF364" i="2"/>
  <c r="AG364" i="2"/>
  <c r="AH364" i="2"/>
  <c r="AJ364" i="2"/>
  <c r="AK364" i="2"/>
  <c r="AL364" i="2"/>
  <c r="AM364" i="2"/>
  <c r="AI366" i="2"/>
  <c r="AI367" i="2"/>
  <c r="AI368" i="2"/>
  <c r="AI369" i="2"/>
  <c r="AI370" i="2"/>
  <c r="AI371" i="2"/>
  <c r="AI372" i="2"/>
  <c r="AI373" i="2"/>
  <c r="AI374" i="2"/>
  <c r="AI375" i="2"/>
  <c r="AI376" i="2"/>
  <c r="AI377" i="2"/>
  <c r="AI378" i="2"/>
  <c r="AI379" i="2"/>
  <c r="AI380" i="2"/>
  <c r="AI381" i="2"/>
  <c r="AI382" i="2"/>
  <c r="AI383" i="2"/>
  <c r="AD386" i="2"/>
  <c r="AD387" i="2"/>
  <c r="AD388" i="2"/>
  <c r="AD389" i="2"/>
  <c r="AD390" i="2"/>
  <c r="AD391" i="2"/>
  <c r="AD392" i="2"/>
  <c r="AD393" i="2"/>
  <c r="AD394" i="2"/>
  <c r="AD395" i="2"/>
  <c r="AD396" i="2"/>
  <c r="AD397" i="2"/>
  <c r="AD398" i="2"/>
  <c r="AD399" i="2"/>
  <c r="AD400" i="2"/>
  <c r="AD401" i="2"/>
  <c r="AD402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T386" i="2"/>
  <c r="T387" i="2"/>
  <c r="T388" i="2"/>
  <c r="T389" i="2"/>
  <c r="T390" i="2"/>
  <c r="T391" i="2"/>
  <c r="T392" i="2"/>
  <c r="T393" i="2"/>
  <c r="T394" i="2"/>
  <c r="T395" i="2"/>
  <c r="T396" i="2"/>
  <c r="T397" i="2"/>
  <c r="T398" i="2"/>
  <c r="T399" i="2"/>
  <c r="T400" i="2"/>
  <c r="T401" i="2"/>
  <c r="T402" i="2"/>
  <c r="O386" i="2"/>
  <c r="O387" i="2"/>
  <c r="O388" i="2"/>
  <c r="O389" i="2"/>
  <c r="O390" i="2"/>
  <c r="O391" i="2"/>
  <c r="O392" i="2"/>
  <c r="O393" i="2"/>
  <c r="O394" i="2"/>
  <c r="O395" i="2"/>
  <c r="O396" i="2"/>
  <c r="O397" i="2"/>
  <c r="O398" i="2"/>
  <c r="O399" i="2"/>
  <c r="O400" i="2"/>
  <c r="O401" i="2"/>
  <c r="O402" i="2"/>
  <c r="J386" i="2"/>
  <c r="J387" i="2"/>
  <c r="J390" i="2"/>
  <c r="J391" i="2"/>
  <c r="J392" i="2"/>
  <c r="J393" i="2"/>
  <c r="J394" i="2"/>
  <c r="J396" i="2"/>
  <c r="J397" i="2"/>
  <c r="J399" i="2"/>
  <c r="J400" i="2"/>
  <c r="J401" i="2"/>
  <c r="J402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385" i="2"/>
  <c r="H386" i="2"/>
  <c r="H387" i="2"/>
  <c r="H390" i="2"/>
  <c r="H391" i="2"/>
  <c r="H392" i="2"/>
  <c r="H393" i="2"/>
  <c r="H394" i="2"/>
  <c r="H396" i="2"/>
  <c r="H397" i="2"/>
  <c r="H399" i="2"/>
  <c r="H400" i="2"/>
  <c r="H401" i="2"/>
  <c r="H402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385" i="2"/>
  <c r="K384" i="2"/>
  <c r="L384" i="2"/>
  <c r="N384" i="2"/>
  <c r="P384" i="2"/>
  <c r="Q384" i="2"/>
  <c r="R384" i="2"/>
  <c r="S384" i="2"/>
  <c r="U384" i="2"/>
  <c r="V384" i="2"/>
  <c r="W384" i="2"/>
  <c r="X384" i="2"/>
  <c r="Z384" i="2"/>
  <c r="AA384" i="2"/>
  <c r="AB384" i="2"/>
  <c r="AC384" i="2"/>
  <c r="AE384" i="2"/>
  <c r="AF384" i="2"/>
  <c r="AG384" i="2"/>
  <c r="AH384" i="2"/>
  <c r="AJ384" i="2"/>
  <c r="AK384" i="2"/>
  <c r="AL384" i="2"/>
  <c r="AM384" i="2"/>
  <c r="AI405" i="2"/>
  <c r="AI404" i="2"/>
  <c r="AD405" i="2"/>
  <c r="AD404" i="2"/>
  <c r="Y405" i="2"/>
  <c r="Y404" i="2"/>
  <c r="Y403" i="2" s="1"/>
  <c r="O405" i="2"/>
  <c r="O404" i="2"/>
  <c r="I405" i="2"/>
  <c r="I404" i="2"/>
  <c r="H405" i="2"/>
  <c r="H404" i="2"/>
  <c r="G405" i="2"/>
  <c r="G404" i="2"/>
  <c r="AI422" i="2"/>
  <c r="AI421" i="2" s="1"/>
  <c r="AD422" i="2"/>
  <c r="AD421" i="2" s="1"/>
  <c r="Y422" i="2"/>
  <c r="Y421" i="2" s="1"/>
  <c r="T422" i="2"/>
  <c r="T421" i="2" s="1"/>
  <c r="I422" i="2"/>
  <c r="I421" i="2" s="1"/>
  <c r="H422" i="2"/>
  <c r="H421" i="2" s="1"/>
  <c r="G422" i="2"/>
  <c r="G421" i="2" s="1"/>
  <c r="AI426" i="2"/>
  <c r="AI425" i="2"/>
  <c r="AD426" i="2"/>
  <c r="AD425" i="2"/>
  <c r="Y426" i="2"/>
  <c r="Y425" i="2"/>
  <c r="T426" i="2"/>
  <c r="T425" i="2"/>
  <c r="O426" i="2"/>
  <c r="J426" i="2"/>
  <c r="I426" i="2"/>
  <c r="I425" i="2"/>
  <c r="G426" i="2"/>
  <c r="G425" i="2"/>
  <c r="K424" i="2"/>
  <c r="L424" i="2"/>
  <c r="M424" i="2"/>
  <c r="N424" i="2"/>
  <c r="P424" i="2"/>
  <c r="Q424" i="2"/>
  <c r="S424" i="2"/>
  <c r="U424" i="2"/>
  <c r="V424" i="2"/>
  <c r="X424" i="2"/>
  <c r="Z424" i="2"/>
  <c r="AA424" i="2"/>
  <c r="AB424" i="2"/>
  <c r="AC424" i="2"/>
  <c r="AE424" i="2"/>
  <c r="AF424" i="2"/>
  <c r="AG424" i="2"/>
  <c r="AH424" i="2"/>
  <c r="AJ424" i="2"/>
  <c r="AK424" i="2"/>
  <c r="AL424" i="2"/>
  <c r="AM424" i="2"/>
  <c r="AI429" i="2"/>
  <c r="AI432" i="2"/>
  <c r="AI428" i="2"/>
  <c r="AD429" i="2"/>
  <c r="AD432" i="2"/>
  <c r="AD428" i="2"/>
  <c r="Y429" i="2"/>
  <c r="Y432" i="2"/>
  <c r="Y428" i="2"/>
  <c r="T429" i="2"/>
  <c r="T432" i="2"/>
  <c r="T428" i="2"/>
  <c r="O429" i="2"/>
  <c r="O432" i="2"/>
  <c r="J432" i="2"/>
  <c r="I429" i="2"/>
  <c r="I432" i="2"/>
  <c r="I428" i="2"/>
  <c r="H432" i="2"/>
  <c r="H428" i="2"/>
  <c r="G429" i="2"/>
  <c r="G432" i="2"/>
  <c r="G428" i="2"/>
  <c r="K427" i="2"/>
  <c r="L427" i="2"/>
  <c r="N427" i="2"/>
  <c r="P427" i="2"/>
  <c r="Q427" i="2"/>
  <c r="S427" i="2"/>
  <c r="U427" i="2"/>
  <c r="V427" i="2"/>
  <c r="W427" i="2"/>
  <c r="X427" i="2"/>
  <c r="Z427" i="2"/>
  <c r="AA427" i="2"/>
  <c r="AB427" i="2"/>
  <c r="AC427" i="2"/>
  <c r="AE427" i="2"/>
  <c r="AF427" i="2"/>
  <c r="AG427" i="2"/>
  <c r="AH427" i="2"/>
  <c r="AJ427" i="2"/>
  <c r="AK427" i="2"/>
  <c r="AL427" i="2"/>
  <c r="AM427" i="2"/>
  <c r="AD434" i="2"/>
  <c r="AD433" i="2" s="1"/>
  <c r="Y434" i="2"/>
  <c r="Y433" i="2" s="1"/>
  <c r="I434" i="2"/>
  <c r="I433" i="2" s="1"/>
  <c r="H434" i="2"/>
  <c r="H433" i="2" s="1"/>
  <c r="G434" i="2"/>
  <c r="G433" i="2" s="1"/>
  <c r="AD440" i="2"/>
  <c r="AD441" i="2"/>
  <c r="AD442" i="2"/>
  <c r="AD443" i="2"/>
  <c r="AD444" i="2"/>
  <c r="AD445" i="2"/>
  <c r="AD446" i="2"/>
  <c r="AD450" i="2"/>
  <c r="AD439" i="2"/>
  <c r="AI440" i="2"/>
  <c r="AI441" i="2"/>
  <c r="AI442" i="2"/>
  <c r="AI443" i="2"/>
  <c r="AI444" i="2"/>
  <c r="AI445" i="2"/>
  <c r="AI446" i="2"/>
  <c r="AI450" i="2"/>
  <c r="AI439" i="2"/>
  <c r="Y439" i="2"/>
  <c r="Y440" i="2"/>
  <c r="Y441" i="2"/>
  <c r="Y442" i="2"/>
  <c r="Y443" i="2"/>
  <c r="Y444" i="2"/>
  <c r="Y445" i="2"/>
  <c r="Y446" i="2"/>
  <c r="Y450" i="2"/>
  <c r="T440" i="2"/>
  <c r="T441" i="2"/>
  <c r="T442" i="2"/>
  <c r="T443" i="2"/>
  <c r="T444" i="2"/>
  <c r="T445" i="2"/>
  <c r="T446" i="2"/>
  <c r="T450" i="2"/>
  <c r="T439" i="2"/>
  <c r="O440" i="2"/>
  <c r="O441" i="2"/>
  <c r="O442" i="2"/>
  <c r="O443" i="2"/>
  <c r="O444" i="2"/>
  <c r="O445" i="2"/>
  <c r="O446" i="2"/>
  <c r="O450" i="2"/>
  <c r="J440" i="2"/>
  <c r="J441" i="2"/>
  <c r="J442" i="2"/>
  <c r="J443" i="2"/>
  <c r="J444" i="2"/>
  <c r="J445" i="2"/>
  <c r="J446" i="2"/>
  <c r="J450" i="2"/>
  <c r="I440" i="2"/>
  <c r="I441" i="2"/>
  <c r="I442" i="2"/>
  <c r="I443" i="2"/>
  <c r="I444" i="2"/>
  <c r="I445" i="2"/>
  <c r="I446" i="2"/>
  <c r="I450" i="2"/>
  <c r="I439" i="2"/>
  <c r="H440" i="2"/>
  <c r="H441" i="2"/>
  <c r="H442" i="2"/>
  <c r="H443" i="2"/>
  <c r="H444" i="2"/>
  <c r="H445" i="2"/>
  <c r="H446" i="2"/>
  <c r="H450" i="2"/>
  <c r="H439" i="2"/>
  <c r="G440" i="2"/>
  <c r="G441" i="2"/>
  <c r="G442" i="2"/>
  <c r="G443" i="2"/>
  <c r="G444" i="2"/>
  <c r="G445" i="2"/>
  <c r="G446" i="2"/>
  <c r="G450" i="2"/>
  <c r="G439" i="2"/>
  <c r="I463" i="2"/>
  <c r="I462" i="2" s="1"/>
  <c r="H463" i="2"/>
  <c r="H462" i="2" s="1"/>
  <c r="G463" i="2"/>
  <c r="G462" i="2" s="1"/>
  <c r="K462" i="2"/>
  <c r="L462" i="2"/>
  <c r="M462" i="2"/>
  <c r="N462" i="2"/>
  <c r="P462" i="2"/>
  <c r="Q462" i="2"/>
  <c r="R462" i="2"/>
  <c r="S462" i="2"/>
  <c r="U462" i="2"/>
  <c r="V462" i="2"/>
  <c r="W462" i="2"/>
  <c r="X462" i="2"/>
  <c r="Z462" i="2"/>
  <c r="AA462" i="2"/>
  <c r="AB462" i="2"/>
  <c r="AC462" i="2"/>
  <c r="AE462" i="2"/>
  <c r="AF462" i="2"/>
  <c r="AG462" i="2"/>
  <c r="AH462" i="2"/>
  <c r="AJ462" i="2"/>
  <c r="AK462" i="2"/>
  <c r="AL462" i="2"/>
  <c r="AM462" i="2"/>
  <c r="G466" i="2"/>
  <c r="G465" i="2"/>
  <c r="T466" i="2"/>
  <c r="T473" i="2"/>
  <c r="T465" i="2"/>
  <c r="T464" i="2" s="1"/>
  <c r="Y466" i="2"/>
  <c r="Y473" i="2"/>
  <c r="Y465" i="2"/>
  <c r="AD466" i="2"/>
  <c r="AD473" i="2"/>
  <c r="AD465" i="2"/>
  <c r="AI466" i="2"/>
  <c r="AI473" i="2"/>
  <c r="AI465" i="2"/>
  <c r="O466" i="2"/>
  <c r="O473" i="2"/>
  <c r="J466" i="2"/>
  <c r="J473" i="2"/>
  <c r="I466" i="2"/>
  <c r="I473" i="2"/>
  <c r="I465" i="2"/>
  <c r="I464" i="2" s="1"/>
  <c r="H466" i="2"/>
  <c r="H473" i="2"/>
  <c r="G473" i="2"/>
  <c r="AI490" i="2"/>
  <c r="AI489" i="2" s="1"/>
  <c r="AD490" i="2"/>
  <c r="AD489" i="2" s="1"/>
  <c r="Y490" i="2"/>
  <c r="Y489" i="2" s="1"/>
  <c r="T490" i="2"/>
  <c r="T489" i="2" s="1"/>
  <c r="I490" i="2"/>
  <c r="I489" i="2" s="1"/>
  <c r="H490" i="2"/>
  <c r="H489" i="2" s="1"/>
  <c r="G490" i="2"/>
  <c r="G489" i="2" s="1"/>
  <c r="AI516" i="2"/>
  <c r="AI517" i="2"/>
  <c r="AI518" i="2"/>
  <c r="AI519" i="2"/>
  <c r="AI521" i="2"/>
  <c r="AI522" i="2"/>
  <c r="AI523" i="2"/>
  <c r="AI524" i="2"/>
  <c r="AI525" i="2"/>
  <c r="AI526" i="2"/>
  <c r="AI527" i="2"/>
  <c r="AI528" i="2"/>
  <c r="AI529" i="2"/>
  <c r="AI530" i="2"/>
  <c r="AI531" i="2"/>
  <c r="AI532" i="2"/>
  <c r="AD516" i="2"/>
  <c r="AD517" i="2"/>
  <c r="AD518" i="2"/>
  <c r="AD519" i="2"/>
  <c r="AD521" i="2"/>
  <c r="AD522" i="2"/>
  <c r="AD523" i="2"/>
  <c r="AD524" i="2"/>
  <c r="AD525" i="2"/>
  <c r="AD526" i="2"/>
  <c r="AD527" i="2"/>
  <c r="AD528" i="2"/>
  <c r="AD529" i="2"/>
  <c r="AD530" i="2"/>
  <c r="AD531" i="2"/>
  <c r="AD532" i="2"/>
  <c r="Y516" i="2"/>
  <c r="Y517" i="2"/>
  <c r="Y518" i="2"/>
  <c r="Y519" i="2"/>
  <c r="Y521" i="2"/>
  <c r="Y522" i="2"/>
  <c r="Y523" i="2"/>
  <c r="Y524" i="2"/>
  <c r="Y525" i="2"/>
  <c r="Y526" i="2"/>
  <c r="Y527" i="2"/>
  <c r="Y528" i="2"/>
  <c r="Y529" i="2"/>
  <c r="Y530" i="2"/>
  <c r="Y531" i="2"/>
  <c r="Y532" i="2"/>
  <c r="O516" i="2"/>
  <c r="O517" i="2"/>
  <c r="O518" i="2"/>
  <c r="O519" i="2"/>
  <c r="O521" i="2"/>
  <c r="O522" i="2"/>
  <c r="O523" i="2"/>
  <c r="O524" i="2"/>
  <c r="O525" i="2"/>
  <c r="O526" i="2"/>
  <c r="O527" i="2"/>
  <c r="O528" i="2"/>
  <c r="O529" i="2"/>
  <c r="O530" i="2"/>
  <c r="O531" i="2"/>
  <c r="O532" i="2"/>
  <c r="J516" i="2"/>
  <c r="J517" i="2"/>
  <c r="J518" i="2"/>
  <c r="J519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I516" i="2"/>
  <c r="I517" i="2"/>
  <c r="I518" i="2"/>
  <c r="I519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15" i="2"/>
  <c r="H515" i="2"/>
  <c r="H516" i="2"/>
  <c r="H517" i="2"/>
  <c r="H518" i="2"/>
  <c r="H519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G516" i="2"/>
  <c r="G517" i="2"/>
  <c r="G518" i="2"/>
  <c r="G519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15" i="2"/>
  <c r="L514" i="2"/>
  <c r="M514" i="2"/>
  <c r="N514" i="2"/>
  <c r="P514" i="2"/>
  <c r="Q514" i="2"/>
  <c r="R514" i="2"/>
  <c r="S514" i="2"/>
  <c r="U514" i="2"/>
  <c r="V514" i="2"/>
  <c r="X514" i="2"/>
  <c r="Z514" i="2"/>
  <c r="AA514" i="2"/>
  <c r="AB514" i="2"/>
  <c r="AC514" i="2"/>
  <c r="AE514" i="2"/>
  <c r="AF514" i="2"/>
  <c r="AG514" i="2"/>
  <c r="AG513" i="2" s="1"/>
  <c r="AH514" i="2"/>
  <c r="AJ514" i="2"/>
  <c r="AK514" i="2"/>
  <c r="AL514" i="2"/>
  <c r="AM514" i="2"/>
  <c r="AI535" i="2"/>
  <c r="AI536" i="2"/>
  <c r="AI534" i="2"/>
  <c r="AD535" i="2"/>
  <c r="AD536" i="2"/>
  <c r="AD534" i="2"/>
  <c r="Y535" i="2"/>
  <c r="Y536" i="2"/>
  <c r="Y534" i="2"/>
  <c r="T535" i="2"/>
  <c r="T536" i="2"/>
  <c r="T534" i="2"/>
  <c r="O535" i="2"/>
  <c r="O536" i="2"/>
  <c r="O534" i="2"/>
  <c r="J535" i="2"/>
  <c r="J536" i="2"/>
  <c r="J534" i="2"/>
  <c r="I535" i="2"/>
  <c r="I536" i="2"/>
  <c r="I534" i="2"/>
  <c r="H535" i="2"/>
  <c r="H536" i="2"/>
  <c r="H534" i="2"/>
  <c r="G535" i="2"/>
  <c r="G536" i="2"/>
  <c r="G534" i="2"/>
  <c r="G541" i="2"/>
  <c r="G539" i="2"/>
  <c r="H539" i="2"/>
  <c r="I539" i="2"/>
  <c r="O541" i="2"/>
  <c r="O539" i="2"/>
  <c r="T541" i="2"/>
  <c r="T539" i="2"/>
  <c r="Y541" i="2"/>
  <c r="Y539" i="2"/>
  <c r="AD541" i="2"/>
  <c r="AD539" i="2"/>
  <c r="AI541" i="2"/>
  <c r="AI539" i="2"/>
  <c r="F538" i="2"/>
  <c r="K538" i="2"/>
  <c r="K513" i="2" s="1"/>
  <c r="P538" i="2"/>
  <c r="Q538" i="2"/>
  <c r="R538" i="2"/>
  <c r="S538" i="2"/>
  <c r="U538" i="2"/>
  <c r="V538" i="2"/>
  <c r="W538" i="2"/>
  <c r="W513" i="2" s="1"/>
  <c r="X538" i="2"/>
  <c r="Z538" i="2"/>
  <c r="AA538" i="2"/>
  <c r="AB538" i="2"/>
  <c r="AC538" i="2"/>
  <c r="AE538" i="2"/>
  <c r="AF538" i="2"/>
  <c r="AH538" i="2"/>
  <c r="AJ538" i="2"/>
  <c r="AK538" i="2"/>
  <c r="AL538" i="2"/>
  <c r="AM538" i="2"/>
  <c r="AI543" i="2"/>
  <c r="AI542" i="2" s="1"/>
  <c r="AD543" i="2"/>
  <c r="AD542" i="2" s="1"/>
  <c r="Y543" i="2"/>
  <c r="Y542" i="2" s="1"/>
  <c r="T543" i="2"/>
  <c r="T542" i="2" s="1"/>
  <c r="I543" i="2"/>
  <c r="I542" i="2" s="1"/>
  <c r="H543" i="2"/>
  <c r="H542" i="2" s="1"/>
  <c r="AI464" i="2" l="1"/>
  <c r="Y464" i="2"/>
  <c r="G464" i="2"/>
  <c r="AD464" i="2"/>
  <c r="Y316" i="2"/>
  <c r="AI316" i="2"/>
  <c r="AI280" i="2" s="1"/>
  <c r="AD316" i="2"/>
  <c r="AD280" i="2" s="1"/>
  <c r="G252" i="2"/>
  <c r="G221" i="2"/>
  <c r="O221" i="2"/>
  <c r="T221" i="2"/>
  <c r="AD221" i="2"/>
  <c r="G403" i="2"/>
  <c r="U513" i="2"/>
  <c r="G40" i="5" s="1"/>
  <c r="AF513" i="2"/>
  <c r="M41" i="5" s="1"/>
  <c r="AD236" i="2"/>
  <c r="AI236" i="2"/>
  <c r="I403" i="2"/>
  <c r="AI403" i="2"/>
  <c r="H403" i="2"/>
  <c r="AD403" i="2"/>
  <c r="T538" i="2"/>
  <c r="V513" i="2"/>
  <c r="G41" i="5" s="1"/>
  <c r="AE513" i="2"/>
  <c r="M40" i="5" s="1"/>
  <c r="S513" i="2"/>
  <c r="F43" i="5" s="1"/>
  <c r="AH513" i="2"/>
  <c r="M43" i="5" s="1"/>
  <c r="X513" i="2"/>
  <c r="G43" i="5" s="1"/>
  <c r="O403" i="2"/>
  <c r="AM513" i="2"/>
  <c r="P43" i="5" s="1"/>
  <c r="AC513" i="2"/>
  <c r="J43" i="5" s="1"/>
  <c r="R513" i="2"/>
  <c r="F42" i="5" s="1"/>
  <c r="AL513" i="2"/>
  <c r="P42" i="5" s="1"/>
  <c r="AB513" i="2"/>
  <c r="J42" i="5" s="1"/>
  <c r="Q513" i="2"/>
  <c r="F41" i="5" s="1"/>
  <c r="AK513" i="2"/>
  <c r="P41" i="5" s="1"/>
  <c r="AA513" i="2"/>
  <c r="J41" i="5" s="1"/>
  <c r="P513" i="2"/>
  <c r="F40" i="5" s="1"/>
  <c r="AJ513" i="2"/>
  <c r="P40" i="5" s="1"/>
  <c r="Z513" i="2"/>
  <c r="J40" i="5" s="1"/>
  <c r="G244" i="2"/>
  <c r="J244" i="2"/>
  <c r="H244" i="2"/>
  <c r="O244" i="2"/>
  <c r="I244" i="2"/>
  <c r="T244" i="2"/>
  <c r="Y244" i="2"/>
  <c r="AI244" i="2"/>
  <c r="AI235" i="2" s="1"/>
  <c r="AI221" i="2" s="1"/>
  <c r="AD244" i="2"/>
  <c r="AD235" i="2" s="1"/>
  <c r="G42" i="5"/>
  <c r="AD438" i="2"/>
  <c r="T438" i="2"/>
  <c r="G438" i="2"/>
  <c r="H438" i="2"/>
  <c r="Y438" i="2"/>
  <c r="I438" i="2"/>
  <c r="AI438" i="2"/>
  <c r="H222" i="2"/>
  <c r="T316" i="2"/>
  <c r="E40" i="5"/>
  <c r="J222" i="2"/>
  <c r="M42" i="5"/>
  <c r="E426" i="2"/>
  <c r="J533" i="2"/>
  <c r="Y533" i="2"/>
  <c r="T533" i="2"/>
  <c r="G533" i="2"/>
  <c r="AI533" i="2"/>
  <c r="H533" i="2"/>
  <c r="O533" i="2"/>
  <c r="AD533" i="2"/>
  <c r="I533" i="2"/>
  <c r="AL363" i="2"/>
  <c r="AB363" i="2"/>
  <c r="AF251" i="2"/>
  <c r="M31" i="5" s="1"/>
  <c r="AM363" i="2"/>
  <c r="AC363" i="2"/>
  <c r="S363" i="2"/>
  <c r="AK363" i="2"/>
  <c r="AA363" i="2"/>
  <c r="Q363" i="2"/>
  <c r="AJ363" i="2"/>
  <c r="Z363" i="2"/>
  <c r="P363" i="2"/>
  <c r="R363" i="2"/>
  <c r="AH363" i="2"/>
  <c r="AG363" i="2"/>
  <c r="W363" i="2"/>
  <c r="L363" i="2"/>
  <c r="N363" i="2"/>
  <c r="AF363" i="2"/>
  <c r="V363" i="2"/>
  <c r="K363" i="2"/>
  <c r="X363" i="2"/>
  <c r="AE363" i="2"/>
  <c r="U363" i="2"/>
  <c r="T329" i="2"/>
  <c r="AD329" i="2"/>
  <c r="O329" i="2"/>
  <c r="AI329" i="2"/>
  <c r="Y329" i="2"/>
  <c r="I329" i="2"/>
  <c r="Y538" i="2"/>
  <c r="Z251" i="2"/>
  <c r="J30" i="5" s="1"/>
  <c r="P251" i="2"/>
  <c r="F30" i="5" s="1"/>
  <c r="AG251" i="2"/>
  <c r="M32" i="5" s="1"/>
  <c r="AI424" i="2"/>
  <c r="AD424" i="2"/>
  <c r="AM251" i="2"/>
  <c r="P33" i="5" s="1"/>
  <c r="AH251" i="2"/>
  <c r="M33" i="5" s="1"/>
  <c r="AE251" i="2"/>
  <c r="M30" i="5" s="1"/>
  <c r="U251" i="2"/>
  <c r="G30" i="5" s="1"/>
  <c r="AI538" i="2"/>
  <c r="O538" i="2"/>
  <c r="K251" i="2"/>
  <c r="E30" i="5" s="1"/>
  <c r="AA251" i="2"/>
  <c r="J31" i="5" s="1"/>
  <c r="AL251" i="2"/>
  <c r="P32" i="5" s="1"/>
  <c r="AK251" i="2"/>
  <c r="P31" i="5" s="1"/>
  <c r="I424" i="2"/>
  <c r="T424" i="2"/>
  <c r="AD538" i="2"/>
  <c r="AJ251" i="2"/>
  <c r="P30" i="5" s="1"/>
  <c r="G424" i="2"/>
  <c r="Y424" i="2"/>
  <c r="X251" i="2"/>
  <c r="G33" i="5" s="1"/>
  <c r="H349" i="2"/>
  <c r="V251" i="2"/>
  <c r="G31" i="5" s="1"/>
  <c r="E337" i="2"/>
  <c r="I342" i="2"/>
  <c r="G342" i="2"/>
  <c r="G353" i="2"/>
  <c r="I353" i="2"/>
  <c r="I364" i="2"/>
  <c r="G364" i="2"/>
  <c r="I384" i="2"/>
  <c r="G384" i="2"/>
  <c r="AI427" i="2"/>
  <c r="AD427" i="2"/>
  <c r="Y427" i="2"/>
  <c r="T427" i="2"/>
  <c r="I427" i="2"/>
  <c r="G427" i="2"/>
  <c r="I514" i="2"/>
  <c r="H514" i="2"/>
  <c r="G514" i="2"/>
  <c r="AI214" i="2"/>
  <c r="AI213" i="2"/>
  <c r="AI212" i="2"/>
  <c r="AD214" i="2"/>
  <c r="AD213" i="2"/>
  <c r="AD212" i="2"/>
  <c r="Y214" i="2"/>
  <c r="Y213" i="2"/>
  <c r="Y212" i="2"/>
  <c r="T214" i="2"/>
  <c r="T213" i="2"/>
  <c r="T212" i="2"/>
  <c r="I214" i="2"/>
  <c r="I213" i="2"/>
  <c r="I212" i="2"/>
  <c r="G213" i="2"/>
  <c r="G214" i="2"/>
  <c r="G212" i="2"/>
  <c r="AI206" i="2"/>
  <c r="AI205" i="2" s="1"/>
  <c r="AD206" i="2"/>
  <c r="AD205" i="2" s="1"/>
  <c r="Y206" i="2"/>
  <c r="Y205" i="2" s="1"/>
  <c r="T206" i="2"/>
  <c r="T205" i="2" s="1"/>
  <c r="O206" i="2"/>
  <c r="O205" i="2" s="1"/>
  <c r="I206" i="2"/>
  <c r="I205" i="2" s="1"/>
  <c r="H206" i="2"/>
  <c r="H205" i="2" s="1"/>
  <c r="G206" i="2"/>
  <c r="G205" i="2" s="1"/>
  <c r="AI202" i="2"/>
  <c r="AI203" i="2"/>
  <c r="AI204" i="2"/>
  <c r="AI201" i="2"/>
  <c r="AD202" i="2"/>
  <c r="AD203" i="2"/>
  <c r="AD204" i="2"/>
  <c r="AD201" i="2"/>
  <c r="Y202" i="2"/>
  <c r="Y203" i="2"/>
  <c r="Y204" i="2"/>
  <c r="Y201" i="2"/>
  <c r="T202" i="2"/>
  <c r="T203" i="2"/>
  <c r="T204" i="2"/>
  <c r="T201" i="2"/>
  <c r="O202" i="2"/>
  <c r="O203" i="2"/>
  <c r="O204" i="2"/>
  <c r="O201" i="2"/>
  <c r="I202" i="2"/>
  <c r="I203" i="2"/>
  <c r="I204" i="2"/>
  <c r="I201" i="2"/>
  <c r="H202" i="2"/>
  <c r="H203" i="2"/>
  <c r="H204" i="2"/>
  <c r="H201" i="2"/>
  <c r="G202" i="2"/>
  <c r="G203" i="2"/>
  <c r="G204" i="2"/>
  <c r="G201" i="2"/>
  <c r="AI191" i="2"/>
  <c r="AI190" i="2"/>
  <c r="AD191" i="2"/>
  <c r="AD190" i="2"/>
  <c r="Y191" i="2"/>
  <c r="Y190" i="2"/>
  <c r="T191" i="2"/>
  <c r="T190" i="2"/>
  <c r="O191" i="2"/>
  <c r="O190" i="2"/>
  <c r="J191" i="2"/>
  <c r="I191" i="2"/>
  <c r="I190" i="2"/>
  <c r="H191" i="2"/>
  <c r="G191" i="2"/>
  <c r="G190" i="2"/>
  <c r="AI175" i="2"/>
  <c r="AI176" i="2"/>
  <c r="AI177" i="2"/>
  <c r="AI178" i="2"/>
  <c r="AI179" i="2"/>
  <c r="AI180" i="2"/>
  <c r="AI181" i="2"/>
  <c r="AI182" i="2"/>
  <c r="AI183" i="2"/>
  <c r="AI184" i="2"/>
  <c r="AI185" i="2"/>
  <c r="AD174" i="2"/>
  <c r="AD180" i="2"/>
  <c r="AD175" i="2"/>
  <c r="AD176" i="2"/>
  <c r="AD177" i="2"/>
  <c r="AD178" i="2"/>
  <c r="AD179" i="2"/>
  <c r="AD181" i="2"/>
  <c r="AD182" i="2"/>
  <c r="AD183" i="2"/>
  <c r="AD184" i="2"/>
  <c r="AD185" i="2"/>
  <c r="Y175" i="2"/>
  <c r="Y176" i="2"/>
  <c r="Y177" i="2"/>
  <c r="Y178" i="2"/>
  <c r="Y179" i="2"/>
  <c r="Y180" i="2"/>
  <c r="Y181" i="2"/>
  <c r="Y182" i="2"/>
  <c r="Y183" i="2"/>
  <c r="Y184" i="2"/>
  <c r="Y185" i="2"/>
  <c r="O175" i="2"/>
  <c r="O176" i="2"/>
  <c r="O177" i="2"/>
  <c r="O179" i="2"/>
  <c r="O180" i="2"/>
  <c r="O181" i="2"/>
  <c r="O182" i="2"/>
  <c r="O184" i="2"/>
  <c r="O185" i="2"/>
  <c r="J184" i="2"/>
  <c r="J185" i="2"/>
  <c r="I175" i="2"/>
  <c r="I176" i="2"/>
  <c r="I177" i="2"/>
  <c r="I178" i="2"/>
  <c r="I179" i="2"/>
  <c r="I180" i="2"/>
  <c r="I181" i="2"/>
  <c r="I182" i="2"/>
  <c r="I183" i="2"/>
  <c r="I184" i="2"/>
  <c r="I185" i="2"/>
  <c r="I174" i="2"/>
  <c r="H184" i="2"/>
  <c r="H185" i="2"/>
  <c r="G175" i="2"/>
  <c r="G176" i="2"/>
  <c r="G177" i="2"/>
  <c r="G178" i="2"/>
  <c r="G179" i="2"/>
  <c r="G180" i="2"/>
  <c r="G181" i="2"/>
  <c r="G182" i="2"/>
  <c r="G183" i="2"/>
  <c r="G184" i="2"/>
  <c r="G185" i="2"/>
  <c r="G174" i="2"/>
  <c r="AI150" i="2"/>
  <c r="AI158" i="2"/>
  <c r="AI159" i="2"/>
  <c r="AI161" i="2"/>
  <c r="AI149" i="2"/>
  <c r="AI148" i="2" s="1"/>
  <c r="AD161" i="2"/>
  <c r="Y161" i="2"/>
  <c r="T161" i="2"/>
  <c r="O150" i="2"/>
  <c r="O158" i="2"/>
  <c r="O159" i="2"/>
  <c r="O161" i="2"/>
  <c r="J158" i="2"/>
  <c r="J159" i="2"/>
  <c r="J161" i="2"/>
  <c r="O149" i="2"/>
  <c r="I161" i="2"/>
  <c r="H158" i="2"/>
  <c r="H159" i="2"/>
  <c r="H161" i="2"/>
  <c r="H149" i="2"/>
  <c r="G161" i="2"/>
  <c r="AD138" i="2"/>
  <c r="AD139" i="2"/>
  <c r="AD140" i="2"/>
  <c r="AD141" i="2"/>
  <c r="AD142" i="2"/>
  <c r="AD143" i="2"/>
  <c r="AD144" i="2"/>
  <c r="AI133" i="2"/>
  <c r="AI134" i="2"/>
  <c r="AI135" i="2"/>
  <c r="AI136" i="2"/>
  <c r="AI137" i="2"/>
  <c r="AI138" i="2"/>
  <c r="AI139" i="2"/>
  <c r="AI140" i="2"/>
  <c r="AI141" i="2"/>
  <c r="AI142" i="2"/>
  <c r="AI143" i="2"/>
  <c r="AI144" i="2"/>
  <c r="AI145" i="2"/>
  <c r="AI146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32" i="2"/>
  <c r="H134" i="2"/>
  <c r="H135" i="2"/>
  <c r="H136" i="2"/>
  <c r="H140" i="2"/>
  <c r="H141" i="2"/>
  <c r="H142" i="2"/>
  <c r="H143" i="2"/>
  <c r="H144" i="2"/>
  <c r="H145" i="2"/>
  <c r="H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32" i="2"/>
  <c r="K131" i="2"/>
  <c r="L131" i="2"/>
  <c r="N131" i="2"/>
  <c r="P131" i="2"/>
  <c r="Q131" i="2"/>
  <c r="S131" i="2"/>
  <c r="U131" i="2"/>
  <c r="V131" i="2"/>
  <c r="W131" i="2"/>
  <c r="X131" i="2"/>
  <c r="Z131" i="2"/>
  <c r="AA131" i="2"/>
  <c r="AB131" i="2"/>
  <c r="AC131" i="2"/>
  <c r="AE131" i="2"/>
  <c r="AF131" i="2"/>
  <c r="AG131" i="2"/>
  <c r="AH131" i="2"/>
  <c r="AJ131" i="2"/>
  <c r="AK131" i="2"/>
  <c r="AL131" i="2"/>
  <c r="AM131" i="2"/>
  <c r="O129" i="2"/>
  <c r="O130" i="2"/>
  <c r="J129" i="2"/>
  <c r="I130" i="2"/>
  <c r="I129" i="2"/>
  <c r="I128" i="2"/>
  <c r="H129" i="2"/>
  <c r="H128" i="2"/>
  <c r="G130" i="2"/>
  <c r="G129" i="2"/>
  <c r="G128" i="2"/>
  <c r="L127" i="2"/>
  <c r="N127" i="2"/>
  <c r="P127" i="2"/>
  <c r="Q127" i="2"/>
  <c r="S127" i="2"/>
  <c r="U127" i="2"/>
  <c r="V127" i="2"/>
  <c r="W127" i="2"/>
  <c r="X127" i="2"/>
  <c r="Z127" i="2"/>
  <c r="AA127" i="2"/>
  <c r="AB127" i="2"/>
  <c r="AC127" i="2"/>
  <c r="AE127" i="2"/>
  <c r="AF127" i="2"/>
  <c r="AG127" i="2"/>
  <c r="AH127" i="2"/>
  <c r="AJ127" i="2"/>
  <c r="AK127" i="2"/>
  <c r="AL127" i="2"/>
  <c r="AM127" i="2"/>
  <c r="AI116" i="2"/>
  <c r="AI117" i="2"/>
  <c r="AI118" i="2"/>
  <c r="AI119" i="2"/>
  <c r="AI121" i="2"/>
  <c r="AI122" i="2"/>
  <c r="AI123" i="2"/>
  <c r="AI124" i="2"/>
  <c r="AI125" i="2"/>
  <c r="AI126" i="2"/>
  <c r="J116" i="2"/>
  <c r="J117" i="2"/>
  <c r="J118" i="2"/>
  <c r="J121" i="2"/>
  <c r="J122" i="2"/>
  <c r="J123" i="2"/>
  <c r="J124" i="2"/>
  <c r="J125" i="2"/>
  <c r="J126" i="2"/>
  <c r="I116" i="2"/>
  <c r="I117" i="2"/>
  <c r="I118" i="2"/>
  <c r="I119" i="2"/>
  <c r="I121" i="2"/>
  <c r="I122" i="2"/>
  <c r="I123" i="2"/>
  <c r="I124" i="2"/>
  <c r="I125" i="2"/>
  <c r="I126" i="2"/>
  <c r="I114" i="2"/>
  <c r="H116" i="2"/>
  <c r="H117" i="2"/>
  <c r="H118" i="2"/>
  <c r="H121" i="2"/>
  <c r="H122" i="2"/>
  <c r="H123" i="2"/>
  <c r="H124" i="2"/>
  <c r="H125" i="2"/>
  <c r="H126" i="2"/>
  <c r="H114" i="2"/>
  <c r="G116" i="2"/>
  <c r="G117" i="2"/>
  <c r="G118" i="2"/>
  <c r="G119" i="2"/>
  <c r="G121" i="2"/>
  <c r="G122" i="2"/>
  <c r="G123" i="2"/>
  <c r="G124" i="2"/>
  <c r="G125" i="2"/>
  <c r="G126" i="2"/>
  <c r="G114" i="2"/>
  <c r="K113" i="2"/>
  <c r="L113" i="2"/>
  <c r="N113" i="2"/>
  <c r="P113" i="2"/>
  <c r="Q113" i="2"/>
  <c r="S113" i="2"/>
  <c r="U113" i="2"/>
  <c r="V113" i="2"/>
  <c r="W113" i="2"/>
  <c r="X113" i="2"/>
  <c r="Z113" i="2"/>
  <c r="AA113" i="2"/>
  <c r="AB113" i="2"/>
  <c r="AC113" i="2"/>
  <c r="AE113" i="2"/>
  <c r="AF113" i="2"/>
  <c r="AG113" i="2"/>
  <c r="AH113" i="2"/>
  <c r="AJ113" i="2"/>
  <c r="AK113" i="2"/>
  <c r="AL113" i="2"/>
  <c r="AM113" i="2"/>
  <c r="AI102" i="2"/>
  <c r="AI104" i="2"/>
  <c r="AI101" i="2"/>
  <c r="AD102" i="2"/>
  <c r="AD104" i="2"/>
  <c r="AD101" i="2"/>
  <c r="Y102" i="2"/>
  <c r="Y104" i="2"/>
  <c r="Y101" i="2"/>
  <c r="T101" i="2"/>
  <c r="T102" i="2"/>
  <c r="T104" i="2"/>
  <c r="O102" i="2"/>
  <c r="O104" i="2"/>
  <c r="O101" i="2"/>
  <c r="O95" i="2"/>
  <c r="O96" i="2"/>
  <c r="O97" i="2"/>
  <c r="O94" i="2"/>
  <c r="J102" i="2"/>
  <c r="J104" i="2"/>
  <c r="I102" i="2"/>
  <c r="I104" i="2"/>
  <c r="I101" i="2"/>
  <c r="H102" i="2"/>
  <c r="H104" i="2"/>
  <c r="H101" i="2"/>
  <c r="G102" i="2"/>
  <c r="G104" i="2"/>
  <c r="J95" i="2"/>
  <c r="J96" i="2"/>
  <c r="J97" i="2"/>
  <c r="I97" i="2"/>
  <c r="I96" i="2"/>
  <c r="I95" i="2"/>
  <c r="I94" i="2"/>
  <c r="H95" i="2"/>
  <c r="H96" i="2"/>
  <c r="H97" i="2"/>
  <c r="H94" i="2"/>
  <c r="G95" i="2"/>
  <c r="G96" i="2"/>
  <c r="G97" i="2"/>
  <c r="G94" i="2"/>
  <c r="K93" i="2"/>
  <c r="L93" i="2"/>
  <c r="M93" i="2"/>
  <c r="P93" i="2"/>
  <c r="Q93" i="2"/>
  <c r="S93" i="2"/>
  <c r="V93" i="2"/>
  <c r="W93" i="2"/>
  <c r="X93" i="2"/>
  <c r="AA93" i="2"/>
  <c r="AB93" i="2"/>
  <c r="AC93" i="2"/>
  <c r="AF93" i="2"/>
  <c r="AG93" i="2"/>
  <c r="AH93" i="2"/>
  <c r="AK93" i="2"/>
  <c r="AL93" i="2"/>
  <c r="AM93" i="2"/>
  <c r="AI91" i="2"/>
  <c r="AI90" i="2" s="1"/>
  <c r="AD91" i="2"/>
  <c r="AD90" i="2" s="1"/>
  <c r="Y91" i="2"/>
  <c r="Y90" i="2" s="1"/>
  <c r="T91" i="2"/>
  <c r="T90" i="2" s="1"/>
  <c r="O91" i="2"/>
  <c r="O90" i="2" s="1"/>
  <c r="I91" i="2"/>
  <c r="I90" i="2" s="1"/>
  <c r="G91" i="2"/>
  <c r="G90" i="2" s="1"/>
  <c r="AI82" i="2"/>
  <c r="AI79" i="2"/>
  <c r="AD82" i="2"/>
  <c r="AD79" i="2"/>
  <c r="T82" i="2"/>
  <c r="T78" i="2" s="1"/>
  <c r="O82" i="2"/>
  <c r="O78" i="2" s="1"/>
  <c r="I82" i="2"/>
  <c r="I78" i="2" s="1"/>
  <c r="H82" i="2"/>
  <c r="H78" i="2" s="1"/>
  <c r="G82" i="2"/>
  <c r="G78" i="2" s="1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4" i="2"/>
  <c r="AI45" i="2"/>
  <c r="AI77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4" i="2"/>
  <c r="AD45" i="2"/>
  <c r="AD77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4" i="2"/>
  <c r="Y4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4" i="2"/>
  <c r="T45" i="2"/>
  <c r="T77" i="2"/>
  <c r="O77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4" i="2"/>
  <c r="O45" i="2"/>
  <c r="J26" i="2"/>
  <c r="J33" i="2"/>
  <c r="J35" i="2"/>
  <c r="J37" i="2"/>
  <c r="J38" i="2"/>
  <c r="J40" i="2"/>
  <c r="J41" i="2"/>
  <c r="J42" i="2"/>
  <c r="J44" i="2"/>
  <c r="J77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4" i="2"/>
  <c r="I45" i="2"/>
  <c r="I77" i="2"/>
  <c r="I25" i="2"/>
  <c r="H26" i="2"/>
  <c r="H33" i="2"/>
  <c r="H35" i="2"/>
  <c r="H37" i="2"/>
  <c r="H38" i="2"/>
  <c r="H40" i="2"/>
  <c r="H41" i="2"/>
  <c r="H42" i="2"/>
  <c r="H44" i="2"/>
  <c r="H77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4" i="2"/>
  <c r="G45" i="2"/>
  <c r="G77" i="2"/>
  <c r="G25" i="2"/>
  <c r="K24" i="2"/>
  <c r="L24" i="2"/>
  <c r="N24" i="2"/>
  <c r="P24" i="2"/>
  <c r="Q24" i="2"/>
  <c r="S24" i="2"/>
  <c r="U24" i="2"/>
  <c r="V24" i="2"/>
  <c r="X24" i="2"/>
  <c r="Z24" i="2"/>
  <c r="AA24" i="2"/>
  <c r="AB24" i="2"/>
  <c r="AC24" i="2"/>
  <c r="AE24" i="2"/>
  <c r="AF24" i="2"/>
  <c r="AG24" i="2"/>
  <c r="AH24" i="2"/>
  <c r="AJ24" i="2"/>
  <c r="AK24" i="2"/>
  <c r="AL24" i="2"/>
  <c r="AM24" i="2"/>
  <c r="AI13" i="2"/>
  <c r="AI14" i="2"/>
  <c r="AI15" i="2"/>
  <c r="AD13" i="2"/>
  <c r="AD14" i="2"/>
  <c r="AD15" i="2"/>
  <c r="Y13" i="2"/>
  <c r="Y14" i="2"/>
  <c r="Y15" i="2"/>
  <c r="Y12" i="2"/>
  <c r="T13" i="2"/>
  <c r="T14" i="2"/>
  <c r="T15" i="2"/>
  <c r="T12" i="2"/>
  <c r="O13" i="2"/>
  <c r="O14" i="2"/>
  <c r="O15" i="2"/>
  <c r="O12" i="2"/>
  <c r="J13" i="2"/>
  <c r="I13" i="2"/>
  <c r="I14" i="2"/>
  <c r="I15" i="2"/>
  <c r="I12" i="2"/>
  <c r="H13" i="2"/>
  <c r="G13" i="2"/>
  <c r="G14" i="2"/>
  <c r="G15" i="2"/>
  <c r="G12" i="2"/>
  <c r="O543" i="2"/>
  <c r="O542" i="2" s="1"/>
  <c r="G543" i="2"/>
  <c r="G542" i="2" s="1"/>
  <c r="O148" i="2" l="1"/>
  <c r="T211" i="2"/>
  <c r="AI211" i="2"/>
  <c r="AD211" i="2"/>
  <c r="I211" i="2"/>
  <c r="G211" i="2"/>
  <c r="G210" i="2" s="1"/>
  <c r="Y211" i="2"/>
  <c r="J156" i="2"/>
  <c r="AI156" i="2"/>
  <c r="O156" i="2"/>
  <c r="H156" i="2"/>
  <c r="O189" i="2"/>
  <c r="AI189" i="2"/>
  <c r="G189" i="2"/>
  <c r="T189" i="2"/>
  <c r="I189" i="2"/>
  <c r="AD189" i="2"/>
  <c r="Y189" i="2"/>
  <c r="T210" i="2"/>
  <c r="AD100" i="2"/>
  <c r="H100" i="2"/>
  <c r="AI100" i="2"/>
  <c r="T100" i="2"/>
  <c r="Y100" i="2"/>
  <c r="AI78" i="2"/>
  <c r="O100" i="2"/>
  <c r="G100" i="2"/>
  <c r="I100" i="2"/>
  <c r="AD78" i="2"/>
  <c r="I11" i="2"/>
  <c r="G11" i="2"/>
  <c r="O11" i="2"/>
  <c r="Y11" i="2"/>
  <c r="AF10" i="2"/>
  <c r="V10" i="2"/>
  <c r="P10" i="2"/>
  <c r="AH10" i="2"/>
  <c r="X10" i="2"/>
  <c r="L10" i="2"/>
  <c r="AG10" i="2"/>
  <c r="AM10" i="2"/>
  <c r="AC10" i="2"/>
  <c r="S10" i="2"/>
  <c r="AL10" i="2"/>
  <c r="Q10" i="2"/>
  <c r="AK10" i="2"/>
  <c r="AA10" i="2"/>
  <c r="K10" i="2"/>
  <c r="F39" i="5"/>
  <c r="G39" i="5"/>
  <c r="J39" i="5"/>
  <c r="P29" i="5"/>
  <c r="M39" i="5"/>
  <c r="M29" i="5"/>
  <c r="D40" i="5"/>
  <c r="D30" i="5"/>
  <c r="P39" i="5"/>
  <c r="G363" i="2"/>
  <c r="I363" i="2"/>
  <c r="I127" i="2"/>
  <c r="I113" i="2"/>
  <c r="G127" i="2"/>
  <c r="G113" i="2"/>
  <c r="O93" i="2"/>
  <c r="J543" i="2"/>
  <c r="J542" i="2" s="1"/>
  <c r="E161" i="2"/>
  <c r="I131" i="2"/>
  <c r="G131" i="2"/>
  <c r="H93" i="2"/>
  <c r="G93" i="2"/>
  <c r="AD24" i="2"/>
  <c r="I24" i="2"/>
  <c r="G24" i="2"/>
  <c r="E543" i="2"/>
  <c r="E542" i="2" s="1"/>
  <c r="O465" i="2"/>
  <c r="O464" i="2" s="1"/>
  <c r="E446" i="2"/>
  <c r="E445" i="2"/>
  <c r="E444" i="2"/>
  <c r="F272" i="2"/>
  <c r="AD210" i="2" l="1"/>
  <c r="AI210" i="2"/>
  <c r="G10" i="2"/>
  <c r="E272" i="2"/>
  <c r="O214" i="2"/>
  <c r="J214" i="2"/>
  <c r="F214" i="2"/>
  <c r="E214" i="2" s="1"/>
  <c r="O213" i="2"/>
  <c r="J213" i="2"/>
  <c r="F213" i="2"/>
  <c r="E213" i="2" l="1"/>
  <c r="W10" i="2" l="1"/>
  <c r="AB10" i="2" l="1"/>
  <c r="T11" i="2"/>
  <c r="R10" i="2"/>
  <c r="O490" i="2" l="1"/>
  <c r="O489" i="2" s="1"/>
  <c r="H425" i="2" l="1"/>
  <c r="H424" i="2" s="1"/>
  <c r="M395" i="2"/>
  <c r="M398" i="2"/>
  <c r="M389" i="2"/>
  <c r="M388" i="2"/>
  <c r="M375" i="2"/>
  <c r="M383" i="2"/>
  <c r="N283" i="2"/>
  <c r="N280" i="2" s="1"/>
  <c r="M283" i="2"/>
  <c r="M280" i="2" s="1"/>
  <c r="N266" i="2"/>
  <c r="M266" i="2"/>
  <c r="I283" i="2" l="1"/>
  <c r="J395" i="2"/>
  <c r="H395" i="2"/>
  <c r="H281" i="2"/>
  <c r="O264" i="2"/>
  <c r="O252" i="2" s="1"/>
  <c r="H264" i="2"/>
  <c r="H541" i="2"/>
  <c r="M538" i="2"/>
  <c r="M513" i="2" s="1"/>
  <c r="H383" i="2"/>
  <c r="J383" i="2"/>
  <c r="N538" i="2"/>
  <c r="N513" i="2" s="1"/>
  <c r="I541" i="2"/>
  <c r="H375" i="2"/>
  <c r="J375" i="2"/>
  <c r="J266" i="2"/>
  <c r="H266" i="2"/>
  <c r="J388" i="2"/>
  <c r="H388" i="2"/>
  <c r="I266" i="2"/>
  <c r="J389" i="2"/>
  <c r="H389" i="2"/>
  <c r="H283" i="2"/>
  <c r="J283" i="2"/>
  <c r="H398" i="2"/>
  <c r="J398" i="2"/>
  <c r="M385" i="2"/>
  <c r="M350" i="2"/>
  <c r="M465" i="2"/>
  <c r="M464" i="2" s="1"/>
  <c r="E42" i="5" l="1"/>
  <c r="D42" i="5" s="1"/>
  <c r="E43" i="5"/>
  <c r="D43" i="5" s="1"/>
  <c r="H465" i="2"/>
  <c r="H464" i="2" s="1"/>
  <c r="H350" i="2"/>
  <c r="J350" i="2"/>
  <c r="M384" i="2"/>
  <c r="H385" i="2"/>
  <c r="H384" i="2" s="1"/>
  <c r="F286" i="2"/>
  <c r="E286" i="2" s="1"/>
  <c r="N270" i="2" l="1"/>
  <c r="I270" i="2" s="1"/>
  <c r="M270" i="2"/>
  <c r="N269" i="2"/>
  <c r="I269" i="2" s="1"/>
  <c r="M269" i="2"/>
  <c r="N268" i="2"/>
  <c r="I268" i="2" s="1"/>
  <c r="M268" i="2"/>
  <c r="N267" i="2"/>
  <c r="N252" i="2" s="1"/>
  <c r="M267" i="2"/>
  <c r="M252" i="2" s="1"/>
  <c r="N224" i="2"/>
  <c r="I224" i="2" s="1"/>
  <c r="M224" i="2"/>
  <c r="H224" i="2" s="1"/>
  <c r="N223" i="2"/>
  <c r="N221" i="2" s="1"/>
  <c r="M223" i="2"/>
  <c r="M212" i="2"/>
  <c r="M211" i="2" s="1"/>
  <c r="M139" i="2"/>
  <c r="H139" i="2" s="1"/>
  <c r="M27" i="2"/>
  <c r="M28" i="2"/>
  <c r="E37" i="2"/>
  <c r="H146" i="2"/>
  <c r="M221" i="2" l="1"/>
  <c r="N251" i="2"/>
  <c r="E33" i="5" s="1"/>
  <c r="N210" i="2"/>
  <c r="H212" i="2"/>
  <c r="H211" i="2" s="1"/>
  <c r="M210" i="2"/>
  <c r="H223" i="2"/>
  <c r="H221" i="2" s="1"/>
  <c r="H27" i="2"/>
  <c r="J27" i="2"/>
  <c r="H267" i="2"/>
  <c r="J267" i="2"/>
  <c r="I267" i="2"/>
  <c r="I252" i="2" s="1"/>
  <c r="H268" i="2"/>
  <c r="J268" i="2"/>
  <c r="J223" i="2"/>
  <c r="J269" i="2"/>
  <c r="H269" i="2"/>
  <c r="I223" i="2"/>
  <c r="I221" i="2" s="1"/>
  <c r="J28" i="2"/>
  <c r="H28" i="2"/>
  <c r="J224" i="2"/>
  <c r="J270" i="2"/>
  <c r="H270" i="2"/>
  <c r="M150" i="2"/>
  <c r="M148" i="2" s="1"/>
  <c r="M130" i="2"/>
  <c r="H252" i="2" l="1"/>
  <c r="J221" i="2"/>
  <c r="H210" i="2"/>
  <c r="I210" i="2"/>
  <c r="M127" i="2"/>
  <c r="H130" i="2"/>
  <c r="H127" i="2" s="1"/>
  <c r="J130" i="2"/>
  <c r="J150" i="2"/>
  <c r="H150" i="2"/>
  <c r="H148" i="2" s="1"/>
  <c r="M133" i="2"/>
  <c r="M45" i="2"/>
  <c r="M39" i="2"/>
  <c r="M32" i="2"/>
  <c r="M34" i="2"/>
  <c r="M91" i="2"/>
  <c r="M90" i="2" s="1"/>
  <c r="M36" i="2"/>
  <c r="H91" i="2" l="1"/>
  <c r="H90" i="2" s="1"/>
  <c r="J36" i="2"/>
  <c r="H36" i="2"/>
  <c r="H34" i="2"/>
  <c r="J34" i="2"/>
  <c r="J32" i="2"/>
  <c r="H32" i="2"/>
  <c r="H39" i="2"/>
  <c r="J39" i="2"/>
  <c r="J45" i="2"/>
  <c r="H45" i="2"/>
  <c r="H133" i="2"/>
  <c r="O425" i="2"/>
  <c r="O424" i="2" s="1"/>
  <c r="N93" i="2" l="1"/>
  <c r="N10" i="2" s="1"/>
  <c r="I93" i="2"/>
  <c r="I10" i="2" s="1"/>
  <c r="F473" i="2"/>
  <c r="F387" i="2"/>
  <c r="E387" i="2" s="1"/>
  <c r="AC280" i="2"/>
  <c r="AC251" i="2" s="1"/>
  <c r="J33" i="5" s="1"/>
  <c r="R251" i="2"/>
  <c r="F32" i="5" s="1"/>
  <c r="Q316" i="2"/>
  <c r="Y225" i="2"/>
  <c r="Y221" i="2" s="1"/>
  <c r="F228" i="2"/>
  <c r="F245" i="2"/>
  <c r="F246" i="2"/>
  <c r="F225" i="2"/>
  <c r="F141" i="2"/>
  <c r="F77" i="2"/>
  <c r="J18" i="5"/>
  <c r="J17" i="5"/>
  <c r="E97" i="2"/>
  <c r="AJ97" i="2"/>
  <c r="AJ96" i="2"/>
  <c r="AJ95" i="2"/>
  <c r="AJ94" i="2"/>
  <c r="Q280" i="2" l="1"/>
  <c r="O316" i="2"/>
  <c r="Y210" i="2"/>
  <c r="F244" i="2"/>
  <c r="G316" i="2"/>
  <c r="AE95" i="2"/>
  <c r="AI95" i="2"/>
  <c r="AE96" i="2"/>
  <c r="AI96" i="2"/>
  <c r="S280" i="2"/>
  <c r="S251" i="2" s="1"/>
  <c r="F33" i="5" s="1"/>
  <c r="D33" i="5" s="1"/>
  <c r="I316" i="2"/>
  <c r="I280" i="2" s="1"/>
  <c r="Q251" i="2"/>
  <c r="F31" i="5" s="1"/>
  <c r="AE97" i="2"/>
  <c r="AI97" i="2"/>
  <c r="AE94" i="2"/>
  <c r="AJ93" i="2"/>
  <c r="AJ10" i="2" s="1"/>
  <c r="AI94" i="2"/>
  <c r="W251" i="2"/>
  <c r="G32" i="5" s="1"/>
  <c r="G29" i="5" s="1"/>
  <c r="T280" i="2"/>
  <c r="AB280" i="2"/>
  <c r="AB251" i="2" s="1"/>
  <c r="J32" i="5" s="1"/>
  <c r="J29" i="5" s="1"/>
  <c r="Y280" i="2"/>
  <c r="E536" i="2"/>
  <c r="E473" i="2"/>
  <c r="E246" i="2"/>
  <c r="E245" i="2"/>
  <c r="E228" i="2"/>
  <c r="E225" i="2"/>
  <c r="Y141" i="2"/>
  <c r="Y142" i="2"/>
  <c r="J142" i="2"/>
  <c r="E77" i="2"/>
  <c r="E104" i="2"/>
  <c r="E96" i="2"/>
  <c r="E244" i="2" l="1"/>
  <c r="I251" i="2"/>
  <c r="F29" i="5"/>
  <c r="AI93" i="2"/>
  <c r="Z94" i="2"/>
  <c r="AD94" i="2"/>
  <c r="AE93" i="2"/>
  <c r="AE10" i="2" s="1"/>
  <c r="Z96" i="2"/>
  <c r="AD96" i="2"/>
  <c r="Z97" i="2"/>
  <c r="AD97" i="2"/>
  <c r="Z95" i="2"/>
  <c r="AD95" i="2"/>
  <c r="E141" i="2"/>
  <c r="J141" i="2"/>
  <c r="U97" i="2" l="1"/>
  <c r="Y97" i="2"/>
  <c r="U96" i="2"/>
  <c r="Y96" i="2"/>
  <c r="U95" i="2"/>
  <c r="T95" i="2" s="1"/>
  <c r="Y95" i="2"/>
  <c r="AD93" i="2"/>
  <c r="U94" i="2"/>
  <c r="Z93" i="2"/>
  <c r="Z10" i="2" s="1"/>
  <c r="Y94" i="2"/>
  <c r="AI463" i="2"/>
  <c r="AI462" i="2" s="1"/>
  <c r="AI434" i="2"/>
  <c r="AI433" i="2" s="1"/>
  <c r="AI402" i="2"/>
  <c r="AI401" i="2"/>
  <c r="AI400" i="2"/>
  <c r="AI399" i="2"/>
  <c r="AI398" i="2"/>
  <c r="AI397" i="2"/>
  <c r="AI396" i="2"/>
  <c r="AI395" i="2"/>
  <c r="AI394" i="2"/>
  <c r="AI393" i="2"/>
  <c r="AI392" i="2"/>
  <c r="AI391" i="2"/>
  <c r="AI390" i="2"/>
  <c r="AI389" i="2"/>
  <c r="AI388" i="2"/>
  <c r="AI386" i="2"/>
  <c r="AI385" i="2"/>
  <c r="AI365" i="2"/>
  <c r="AI364" i="2" s="1"/>
  <c r="AI354" i="2"/>
  <c r="AI353" i="2" s="1"/>
  <c r="AI352" i="2"/>
  <c r="AI351" i="2"/>
  <c r="AI350" i="2"/>
  <c r="AI349" i="2"/>
  <c r="AI348" i="2"/>
  <c r="AI347" i="2"/>
  <c r="AI346" i="2"/>
  <c r="AI345" i="2"/>
  <c r="AI344" i="2"/>
  <c r="AI343" i="2"/>
  <c r="AI341" i="2"/>
  <c r="AI340" i="2" s="1"/>
  <c r="AM340" i="2"/>
  <c r="AM339" i="2" s="1"/>
  <c r="AM328" i="2" s="1"/>
  <c r="AL340" i="2"/>
  <c r="AL339" i="2" s="1"/>
  <c r="AL328" i="2" s="1"/>
  <c r="AK340" i="2"/>
  <c r="AK339" i="2" s="1"/>
  <c r="AK328" i="2" s="1"/>
  <c r="AJ340" i="2"/>
  <c r="AJ339" i="2" s="1"/>
  <c r="AJ328" i="2" s="1"/>
  <c r="AM200" i="2"/>
  <c r="AL200" i="2"/>
  <c r="AK200" i="2"/>
  <c r="AJ200" i="2"/>
  <c r="AI200" i="2"/>
  <c r="AL173" i="2"/>
  <c r="AL147" i="2" s="1"/>
  <c r="AJ173" i="2"/>
  <c r="AH159" i="2"/>
  <c r="AH158" i="2"/>
  <c r="AF158" i="2"/>
  <c r="AF156" i="2" s="1"/>
  <c r="AH150" i="2"/>
  <c r="AF150" i="2"/>
  <c r="AH149" i="2"/>
  <c r="AH148" i="2" s="1"/>
  <c r="AI132" i="2"/>
  <c r="AI130" i="2"/>
  <c r="AI129" i="2"/>
  <c r="AI128" i="2"/>
  <c r="AI114" i="2"/>
  <c r="AI113" i="2" s="1"/>
  <c r="AI25" i="2"/>
  <c r="AI24" i="2" s="1"/>
  <c r="AI12" i="2"/>
  <c r="AI11" i="2" s="1"/>
  <c r="AD463" i="2"/>
  <c r="AD462" i="2" s="1"/>
  <c r="AD385" i="2"/>
  <c r="AD384" i="2" s="1"/>
  <c r="AD383" i="2"/>
  <c r="AD382" i="2"/>
  <c r="AD381" i="2"/>
  <c r="AD380" i="2"/>
  <c r="AD379" i="2"/>
  <c r="AD378" i="2"/>
  <c r="AD377" i="2"/>
  <c r="AD376" i="2"/>
  <c r="AD375" i="2"/>
  <c r="AD374" i="2"/>
  <c r="AD373" i="2"/>
  <c r="AD372" i="2"/>
  <c r="AD371" i="2"/>
  <c r="AD370" i="2"/>
  <c r="AD369" i="2"/>
  <c r="AD368" i="2"/>
  <c r="AD367" i="2"/>
  <c r="AD366" i="2"/>
  <c r="AD365" i="2"/>
  <c r="AD354" i="2"/>
  <c r="AD353" i="2" s="1"/>
  <c r="AD352" i="2"/>
  <c r="AD351" i="2"/>
  <c r="AD350" i="2"/>
  <c r="AD349" i="2"/>
  <c r="AD348" i="2"/>
  <c r="AD347" i="2"/>
  <c r="AD346" i="2"/>
  <c r="AD345" i="2"/>
  <c r="AD344" i="2"/>
  <c r="AD343" i="2"/>
  <c r="AD341" i="2"/>
  <c r="AD340" i="2" s="1"/>
  <c r="AH340" i="2"/>
  <c r="AH339" i="2" s="1"/>
  <c r="AH328" i="2" s="1"/>
  <c r="AG340" i="2"/>
  <c r="AG339" i="2" s="1"/>
  <c r="AG328" i="2" s="1"/>
  <c r="AF340" i="2"/>
  <c r="AF339" i="2" s="1"/>
  <c r="AF328" i="2" s="1"/>
  <c r="AE340" i="2"/>
  <c r="AE339" i="2" s="1"/>
  <c r="AE328" i="2" s="1"/>
  <c r="AH200" i="2"/>
  <c r="AG200" i="2"/>
  <c r="AF200" i="2"/>
  <c r="AE200" i="2"/>
  <c r="AD200" i="2"/>
  <c r="AG173" i="2"/>
  <c r="AG147" i="2" s="1"/>
  <c r="AE173" i="2"/>
  <c r="AD146" i="2"/>
  <c r="AD145" i="2"/>
  <c r="AD137" i="2"/>
  <c r="AD136" i="2"/>
  <c r="AD135" i="2"/>
  <c r="AD134" i="2"/>
  <c r="AD133" i="2"/>
  <c r="AD132" i="2"/>
  <c r="AD130" i="2"/>
  <c r="AD129" i="2"/>
  <c r="AD128" i="2"/>
  <c r="AD126" i="2"/>
  <c r="AD125" i="2"/>
  <c r="AD124" i="2"/>
  <c r="AD123" i="2"/>
  <c r="AD122" i="2"/>
  <c r="AD121" i="2"/>
  <c r="AD119" i="2"/>
  <c r="AD118" i="2"/>
  <c r="AD117" i="2"/>
  <c r="AD116" i="2"/>
  <c r="AD114" i="2"/>
  <c r="AD12" i="2"/>
  <c r="AD11" i="2" s="1"/>
  <c r="Y463" i="2"/>
  <c r="Y462" i="2" s="1"/>
  <c r="Y385" i="2"/>
  <c r="Y384" i="2" s="1"/>
  <c r="Y383" i="2"/>
  <c r="Y382" i="2"/>
  <c r="Y381" i="2"/>
  <c r="Y380" i="2"/>
  <c r="Y379" i="2"/>
  <c r="Y378" i="2"/>
  <c r="Y377" i="2"/>
  <c r="Y376" i="2"/>
  <c r="Y375" i="2"/>
  <c r="Y374" i="2"/>
  <c r="Y373" i="2"/>
  <c r="Y372" i="2"/>
  <c r="Y371" i="2"/>
  <c r="Y370" i="2"/>
  <c r="Y369" i="2"/>
  <c r="Y368" i="2"/>
  <c r="Y367" i="2"/>
  <c r="Y366" i="2"/>
  <c r="Y365" i="2"/>
  <c r="Y354" i="2"/>
  <c r="Y353" i="2" s="1"/>
  <c r="Y352" i="2"/>
  <c r="Y351" i="2"/>
  <c r="Y350" i="2"/>
  <c r="Y349" i="2"/>
  <c r="Y348" i="2"/>
  <c r="Y347" i="2"/>
  <c r="Y346" i="2"/>
  <c r="Y345" i="2"/>
  <c r="Y344" i="2"/>
  <c r="Y343" i="2"/>
  <c r="Y341" i="2"/>
  <c r="Y340" i="2" s="1"/>
  <c r="AC340" i="2"/>
  <c r="AC339" i="2" s="1"/>
  <c r="AC328" i="2" s="1"/>
  <c r="AB340" i="2"/>
  <c r="AB339" i="2" s="1"/>
  <c r="AB328" i="2" s="1"/>
  <c r="AA340" i="2"/>
  <c r="AA339" i="2" s="1"/>
  <c r="AA328" i="2" s="1"/>
  <c r="Z340" i="2"/>
  <c r="Z339" i="2" s="1"/>
  <c r="Z328" i="2" s="1"/>
  <c r="AC200" i="2"/>
  <c r="AB200" i="2"/>
  <c r="AA200" i="2"/>
  <c r="Z200" i="2"/>
  <c r="Y200" i="2"/>
  <c r="Z173" i="2"/>
  <c r="Z147" i="2" s="1"/>
  <c r="Y146" i="2"/>
  <c r="Y145" i="2"/>
  <c r="Y144" i="2"/>
  <c r="Y143" i="2"/>
  <c r="Y140" i="2"/>
  <c r="Y139" i="2"/>
  <c r="Y138" i="2"/>
  <c r="Y137" i="2"/>
  <c r="Y136" i="2"/>
  <c r="Y135" i="2"/>
  <c r="Y134" i="2"/>
  <c r="Y133" i="2"/>
  <c r="Y132" i="2"/>
  <c r="Y130" i="2"/>
  <c r="Y129" i="2"/>
  <c r="Y128" i="2"/>
  <c r="Y126" i="2"/>
  <c r="Y125" i="2"/>
  <c r="Y124" i="2"/>
  <c r="Y123" i="2"/>
  <c r="Y122" i="2"/>
  <c r="Y121" i="2"/>
  <c r="Y119" i="2"/>
  <c r="Y118" i="2"/>
  <c r="Y117" i="2"/>
  <c r="Y116" i="2"/>
  <c r="Y114" i="2"/>
  <c r="Y25" i="2"/>
  <c r="Y24" i="2" s="1"/>
  <c r="AH156" i="2" l="1"/>
  <c r="AE147" i="2"/>
  <c r="AE112" i="2" s="1"/>
  <c r="M20" i="5" s="1"/>
  <c r="AJ147" i="2"/>
  <c r="AJ112" i="2" s="1"/>
  <c r="P20" i="5" s="1"/>
  <c r="AG112" i="2"/>
  <c r="AL112" i="2"/>
  <c r="P22" i="5" s="1"/>
  <c r="Z112" i="2"/>
  <c r="J20" i="5" s="1"/>
  <c r="AI10" i="2"/>
  <c r="AD10" i="2"/>
  <c r="T96" i="2"/>
  <c r="F96" i="2"/>
  <c r="T97" i="2"/>
  <c r="F97" i="2"/>
  <c r="P35" i="5"/>
  <c r="P37" i="5"/>
  <c r="M35" i="5"/>
  <c r="P38" i="5"/>
  <c r="J38" i="5"/>
  <c r="J35" i="5"/>
  <c r="M36" i="5"/>
  <c r="J36" i="5"/>
  <c r="M37" i="5"/>
  <c r="P36" i="5"/>
  <c r="J37" i="5"/>
  <c r="M38" i="5"/>
  <c r="Y127" i="2"/>
  <c r="AI127" i="2"/>
  <c r="Y93" i="2"/>
  <c r="Y10" i="2" s="1"/>
  <c r="T94" i="2"/>
  <c r="U93" i="2"/>
  <c r="U10" i="2" s="1"/>
  <c r="AD127" i="2"/>
  <c r="Y113" i="2"/>
  <c r="AI342" i="2"/>
  <c r="AI339" i="2" s="1"/>
  <c r="AD342" i="2"/>
  <c r="AD339" i="2" s="1"/>
  <c r="Y342" i="2"/>
  <c r="Y339" i="2" s="1"/>
  <c r="AD364" i="2"/>
  <c r="AD363" i="2" s="1"/>
  <c r="Y364" i="2"/>
  <c r="Y363" i="2" s="1"/>
  <c r="AI384" i="2"/>
  <c r="AI363" i="2" s="1"/>
  <c r="Y159" i="2"/>
  <c r="AD159" i="2"/>
  <c r="AD158" i="2"/>
  <c r="Y150" i="2"/>
  <c r="AD150" i="2"/>
  <c r="AI131" i="2"/>
  <c r="AD131" i="2"/>
  <c r="Y131" i="2"/>
  <c r="AD113" i="2"/>
  <c r="AI174" i="2"/>
  <c r="J15" i="5"/>
  <c r="M17" i="5"/>
  <c r="AK173" i="2"/>
  <c r="AM173" i="2"/>
  <c r="AF149" i="2"/>
  <c r="AF148" i="2" s="1"/>
  <c r="AB173" i="2"/>
  <c r="P17" i="5"/>
  <c r="P18" i="5"/>
  <c r="M16" i="5"/>
  <c r="M15" i="5"/>
  <c r="P16" i="5"/>
  <c r="J16" i="5"/>
  <c r="M18" i="5"/>
  <c r="P15" i="5"/>
  <c r="Y515" i="2"/>
  <c r="Y514" i="2" s="1"/>
  <c r="Y513" i="2" s="1"/>
  <c r="AD515" i="2"/>
  <c r="AD514" i="2" s="1"/>
  <c r="AD513" i="2" s="1"/>
  <c r="AI253" i="2"/>
  <c r="AI515" i="2"/>
  <c r="AD253" i="2"/>
  <c r="AD252" i="2" s="1"/>
  <c r="AI252" i="2" l="1"/>
  <c r="AI251" i="2" s="1"/>
  <c r="AD156" i="2"/>
  <c r="Y328" i="2"/>
  <c r="AD328" i="2"/>
  <c r="AI328" i="2"/>
  <c r="AM147" i="2"/>
  <c r="AM112" i="2" s="1"/>
  <c r="P23" i="5" s="1"/>
  <c r="AK147" i="2"/>
  <c r="AK112" i="2" s="1"/>
  <c r="P21" i="5" s="1"/>
  <c r="AB147" i="2"/>
  <c r="AB112" i="2" s="1"/>
  <c r="J22" i="5" s="1"/>
  <c r="M22" i="5"/>
  <c r="AD251" i="2"/>
  <c r="T93" i="2"/>
  <c r="J34" i="5"/>
  <c r="M34" i="5"/>
  <c r="P34" i="5"/>
  <c r="J14" i="5"/>
  <c r="M14" i="5"/>
  <c r="P14" i="5"/>
  <c r="AI514" i="2"/>
  <c r="AI513" i="2" s="1"/>
  <c r="Y158" i="2"/>
  <c r="Y156" i="2" s="1"/>
  <c r="AD149" i="2"/>
  <c r="AD148" i="2" s="1"/>
  <c r="AC173" i="2"/>
  <c r="AI173" i="2"/>
  <c r="Y174" i="2"/>
  <c r="AH173" i="2"/>
  <c r="AF173" i="2"/>
  <c r="AF147" i="2" s="1"/>
  <c r="Y253" i="2"/>
  <c r="E534" i="2"/>
  <c r="E535" i="2"/>
  <c r="Y252" i="2" l="1"/>
  <c r="Y251" i="2" s="1"/>
  <c r="AC147" i="2"/>
  <c r="AC112" i="2" s="1"/>
  <c r="J23" i="5" s="1"/>
  <c r="AF112" i="2"/>
  <c r="M21" i="5" s="1"/>
  <c r="AH147" i="2"/>
  <c r="AH112" i="2" s="1"/>
  <c r="M23" i="5" s="1"/>
  <c r="AI147" i="2"/>
  <c r="AI112" i="2" s="1"/>
  <c r="E533" i="2"/>
  <c r="P19" i="5"/>
  <c r="Y149" i="2"/>
  <c r="Y148" i="2" s="1"/>
  <c r="AA173" i="2"/>
  <c r="Y173" i="2"/>
  <c r="AD173" i="2"/>
  <c r="F273" i="2"/>
  <c r="F405" i="2"/>
  <c r="J405" i="2"/>
  <c r="M366" i="2"/>
  <c r="H366" i="2" s="1"/>
  <c r="M378" i="2"/>
  <c r="M371" i="2"/>
  <c r="E450" i="2"/>
  <c r="M14" i="2"/>
  <c r="F283" i="2"/>
  <c r="E283" i="2" s="1"/>
  <c r="F284" i="2"/>
  <c r="E284" i="2" s="1"/>
  <c r="F285" i="2"/>
  <c r="E285" i="2" s="1"/>
  <c r="Y147" i="2" l="1"/>
  <c r="Y112" i="2" s="1"/>
  <c r="AA147" i="2"/>
  <c r="AA112" i="2" s="1"/>
  <c r="J21" i="5" s="1"/>
  <c r="AD147" i="2"/>
  <c r="AD112" i="2" s="1"/>
  <c r="J378" i="2"/>
  <c r="H378" i="2"/>
  <c r="J366" i="2"/>
  <c r="H14" i="2"/>
  <c r="J14" i="2"/>
  <c r="J371" i="2"/>
  <c r="H371" i="2"/>
  <c r="E273" i="2"/>
  <c r="E405" i="2"/>
  <c r="M19" i="5" l="1"/>
  <c r="M25" i="2"/>
  <c r="J19" i="5" l="1"/>
  <c r="H25" i="2"/>
  <c r="F102" i="2"/>
  <c r="J101" i="2"/>
  <c r="J100" i="2" s="1"/>
  <c r="F101" i="2"/>
  <c r="F100" i="2" l="1"/>
  <c r="E102" i="2"/>
  <c r="E101" i="2"/>
  <c r="M15" i="2"/>
  <c r="E100" i="2" l="1"/>
  <c r="J15" i="2"/>
  <c r="H15" i="2"/>
  <c r="M376" i="2"/>
  <c r="J376" i="2" l="1"/>
  <c r="H376" i="2"/>
  <c r="H364" i="2" s="1"/>
  <c r="H363" i="2" s="1"/>
  <c r="M364" i="2"/>
  <c r="M363" i="2" s="1"/>
  <c r="J490" i="2"/>
  <c r="J489" i="2" s="1"/>
  <c r="F490" i="2"/>
  <c r="F489" i="2" s="1"/>
  <c r="I538" i="2"/>
  <c r="I513" i="2" s="1"/>
  <c r="F223" i="2"/>
  <c r="M190" i="2"/>
  <c r="M189" i="2" s="1"/>
  <c r="M119" i="2"/>
  <c r="E44" i="2"/>
  <c r="F95" i="2"/>
  <c r="J94" i="2"/>
  <c r="J93" i="2" s="1"/>
  <c r="F94" i="2"/>
  <c r="F466" i="2"/>
  <c r="J465" i="2"/>
  <c r="J464" i="2" s="1"/>
  <c r="M12" i="2"/>
  <c r="M11" i="2" s="1"/>
  <c r="H190" i="2" l="1"/>
  <c r="H189" i="2" s="1"/>
  <c r="E490" i="2"/>
  <c r="E489" i="2" s="1"/>
  <c r="F93" i="2"/>
  <c r="H119" i="2"/>
  <c r="H113" i="2" s="1"/>
  <c r="M113" i="2"/>
  <c r="J119" i="2"/>
  <c r="J12" i="2"/>
  <c r="J11" i="2" s="1"/>
  <c r="H12" i="2"/>
  <c r="H11" i="2" s="1"/>
  <c r="H353" i="2"/>
  <c r="J361" i="2"/>
  <c r="M353" i="2"/>
  <c r="J539" i="2"/>
  <c r="L538" i="2"/>
  <c r="L513" i="2" s="1"/>
  <c r="H538" i="2"/>
  <c r="H513" i="2" s="1"/>
  <c r="E541" i="2"/>
  <c r="J541" i="2"/>
  <c r="E94" i="2"/>
  <c r="E223" i="2"/>
  <c r="E466" i="2"/>
  <c r="E95" i="2"/>
  <c r="E41" i="5" l="1"/>
  <c r="E539" i="2"/>
  <c r="E538" i="2" s="1"/>
  <c r="G538" i="2"/>
  <c r="G513" i="2" s="1"/>
  <c r="J538" i="2"/>
  <c r="E93" i="2"/>
  <c r="K200" i="2"/>
  <c r="L200" i="2"/>
  <c r="M200" i="2"/>
  <c r="N200" i="2"/>
  <c r="O200" i="2"/>
  <c r="P200" i="2"/>
  <c r="Q200" i="2"/>
  <c r="S200" i="2"/>
  <c r="T200" i="2"/>
  <c r="U200" i="2"/>
  <c r="V200" i="2"/>
  <c r="W200" i="2"/>
  <c r="X200" i="2"/>
  <c r="E39" i="5" l="1"/>
  <c r="D41" i="5"/>
  <c r="D39" i="5" s="1"/>
  <c r="G159" i="2"/>
  <c r="G158" i="2"/>
  <c r="M137" i="2"/>
  <c r="F465" i="2"/>
  <c r="F464" i="2" s="1"/>
  <c r="E443" i="2"/>
  <c r="M429" i="2"/>
  <c r="L281" i="2"/>
  <c r="L280" i="2" s="1"/>
  <c r="G156" i="2" l="1"/>
  <c r="H137" i="2"/>
  <c r="G281" i="2"/>
  <c r="L251" i="2"/>
  <c r="E31" i="5" s="1"/>
  <c r="M342" i="2"/>
  <c r="H342" i="2"/>
  <c r="M427" i="2"/>
  <c r="H429" i="2"/>
  <c r="H427" i="2" s="1"/>
  <c r="J429" i="2"/>
  <c r="I159" i="2"/>
  <c r="T159" i="2"/>
  <c r="I158" i="2"/>
  <c r="I156" i="2" s="1"/>
  <c r="T158" i="2"/>
  <c r="T156" i="2" s="1"/>
  <c r="E465" i="2"/>
  <c r="E464" i="2" s="1"/>
  <c r="F317" i="2"/>
  <c r="E317" i="2" s="1"/>
  <c r="F318" i="2"/>
  <c r="E318" i="2" s="1"/>
  <c r="F319" i="2"/>
  <c r="E319" i="2" s="1"/>
  <c r="F320" i="2"/>
  <c r="E320" i="2" s="1"/>
  <c r="F321" i="2"/>
  <c r="E321" i="2" s="1"/>
  <c r="F322" i="2"/>
  <c r="E322" i="2" s="1"/>
  <c r="F323" i="2"/>
  <c r="E323" i="2" s="1"/>
  <c r="F324" i="2"/>
  <c r="E324" i="2" s="1"/>
  <c r="F325" i="2"/>
  <c r="E325" i="2" s="1"/>
  <c r="F316" i="2"/>
  <c r="E316" i="2" s="1"/>
  <c r="F330" i="2"/>
  <c r="M330" i="2"/>
  <c r="F191" i="2"/>
  <c r="E191" i="2" s="1"/>
  <c r="F159" i="2"/>
  <c r="F158" i="2"/>
  <c r="F156" i="2" s="1"/>
  <c r="E45" i="2"/>
  <c r="E42" i="2"/>
  <c r="E41" i="2"/>
  <c r="E40" i="2"/>
  <c r="E39" i="2"/>
  <c r="E38" i="2"/>
  <c r="E36" i="2"/>
  <c r="E35" i="2"/>
  <c r="M31" i="2"/>
  <c r="F82" i="2"/>
  <c r="F78" i="2" s="1"/>
  <c r="J82" i="2"/>
  <c r="J78" i="2" s="1"/>
  <c r="E82" i="2" l="1"/>
  <c r="G280" i="2"/>
  <c r="G251" i="2" s="1"/>
  <c r="D31" i="5"/>
  <c r="H330" i="2"/>
  <c r="E330" i="2" s="1"/>
  <c r="E158" i="2"/>
  <c r="E159" i="2"/>
  <c r="H280" i="2"/>
  <c r="M251" i="2"/>
  <c r="E32" i="5" s="1"/>
  <c r="D32" i="5" s="1"/>
  <c r="H31" i="2"/>
  <c r="J31" i="2"/>
  <c r="J330" i="2"/>
  <c r="E156" i="2" l="1"/>
  <c r="H251" i="2"/>
  <c r="E29" i="5"/>
  <c r="D29" i="5"/>
  <c r="F282" i="2"/>
  <c r="E282" i="2" s="1"/>
  <c r="M30" i="2"/>
  <c r="J30" i="2" l="1"/>
  <c r="H30" i="2"/>
  <c r="F271" i="2"/>
  <c r="F34" i="2"/>
  <c r="F33" i="2"/>
  <c r="J91" i="2"/>
  <c r="J90" i="2" s="1"/>
  <c r="F91" i="2"/>
  <c r="F90" i="2" s="1"/>
  <c r="E16" i="5"/>
  <c r="E15" i="5"/>
  <c r="E271" i="2" l="1"/>
  <c r="E33" i="2"/>
  <c r="E34" i="2"/>
  <c r="E91" i="2"/>
  <c r="E90" i="2" s="1"/>
  <c r="J206" i="2"/>
  <c r="J205" i="2" s="1"/>
  <c r="F206" i="2"/>
  <c r="F205" i="2" s="1"/>
  <c r="F432" i="2"/>
  <c r="F32" i="2"/>
  <c r="E32" i="2" l="1"/>
  <c r="E206" i="2"/>
  <c r="E205" i="2" s="1"/>
  <c r="E432" i="2"/>
  <c r="F442" i="2"/>
  <c r="F441" i="2"/>
  <c r="T463" i="2"/>
  <c r="T462" i="2" s="1"/>
  <c r="O463" i="2"/>
  <c r="O462" i="2" s="1"/>
  <c r="J463" i="2"/>
  <c r="J462" i="2" s="1"/>
  <c r="F463" i="2"/>
  <c r="F462" i="2" s="1"/>
  <c r="E463" i="2" l="1"/>
  <c r="E462" i="2" s="1"/>
  <c r="E442" i="2"/>
  <c r="E441" i="2"/>
  <c r="G150" i="2"/>
  <c r="F150" i="2"/>
  <c r="T150" i="2" l="1"/>
  <c r="I150" i="2"/>
  <c r="E150" i="2" s="1"/>
  <c r="E18" i="5"/>
  <c r="F15" i="5"/>
  <c r="F16" i="5"/>
  <c r="F17" i="5"/>
  <c r="F18" i="5"/>
  <c r="G15" i="5"/>
  <c r="G16" i="5"/>
  <c r="G17" i="5"/>
  <c r="G18" i="5"/>
  <c r="K173" i="2"/>
  <c r="L173" i="2"/>
  <c r="P173" i="2"/>
  <c r="U173" i="2"/>
  <c r="F190" i="2"/>
  <c r="F189" i="2" s="1"/>
  <c r="J204" i="2"/>
  <c r="J203" i="2"/>
  <c r="J202" i="2"/>
  <c r="J201" i="2"/>
  <c r="F204" i="2"/>
  <c r="F203" i="2"/>
  <c r="F202" i="2"/>
  <c r="F201" i="2"/>
  <c r="F336" i="2"/>
  <c r="E336" i="2" s="1"/>
  <c r="F335" i="2"/>
  <c r="E335" i="2" s="1"/>
  <c r="F334" i="2"/>
  <c r="E334" i="2" s="1"/>
  <c r="F333" i="2"/>
  <c r="E333" i="2" s="1"/>
  <c r="F332" i="2"/>
  <c r="E332" i="2" s="1"/>
  <c r="F331" i="2"/>
  <c r="K340" i="2"/>
  <c r="K339" i="2" s="1"/>
  <c r="K328" i="2" s="1"/>
  <c r="L340" i="2"/>
  <c r="L339" i="2" s="1"/>
  <c r="M340" i="2"/>
  <c r="M339" i="2" s="1"/>
  <c r="N340" i="2"/>
  <c r="N339" i="2" s="1"/>
  <c r="N328" i="2" s="1"/>
  <c r="P340" i="2"/>
  <c r="P339" i="2" s="1"/>
  <c r="P328" i="2" s="1"/>
  <c r="Q340" i="2"/>
  <c r="Q339" i="2" s="1"/>
  <c r="Q328" i="2" s="1"/>
  <c r="R340" i="2"/>
  <c r="R339" i="2" s="1"/>
  <c r="R328" i="2" s="1"/>
  <c r="S340" i="2"/>
  <c r="S339" i="2" s="1"/>
  <c r="S328" i="2" s="1"/>
  <c r="U340" i="2"/>
  <c r="U339" i="2" s="1"/>
  <c r="U328" i="2" s="1"/>
  <c r="V340" i="2"/>
  <c r="V339" i="2" s="1"/>
  <c r="V328" i="2" s="1"/>
  <c r="W340" i="2"/>
  <c r="W339" i="2" s="1"/>
  <c r="W328" i="2" s="1"/>
  <c r="X340" i="2"/>
  <c r="X339" i="2" s="1"/>
  <c r="X328" i="2" s="1"/>
  <c r="T341" i="2"/>
  <c r="T340" i="2" s="1"/>
  <c r="O341" i="2"/>
  <c r="O340" i="2" s="1"/>
  <c r="J341" i="2"/>
  <c r="J340" i="2" s="1"/>
  <c r="I340" i="2"/>
  <c r="I339" i="2" s="1"/>
  <c r="I328" i="2" s="1"/>
  <c r="H340" i="2"/>
  <c r="H339" i="2" s="1"/>
  <c r="G340" i="2"/>
  <c r="G339" i="2" s="1"/>
  <c r="F341" i="2"/>
  <c r="F340" i="2" s="1"/>
  <c r="J404" i="2"/>
  <c r="J403" i="2" s="1"/>
  <c r="F429" i="2"/>
  <c r="T434" i="2"/>
  <c r="T433" i="2" s="1"/>
  <c r="O434" i="2"/>
  <c r="O433" i="2" s="1"/>
  <c r="J434" i="2"/>
  <c r="J433" i="2" s="1"/>
  <c r="F434" i="2"/>
  <c r="F433" i="2" s="1"/>
  <c r="O439" i="2"/>
  <c r="O438" i="2" s="1"/>
  <c r="J439" i="2"/>
  <c r="J438" i="2" s="1"/>
  <c r="F440" i="2"/>
  <c r="F439" i="2"/>
  <c r="L147" i="2" l="1"/>
  <c r="L112" i="2" s="1"/>
  <c r="E21" i="5" s="1"/>
  <c r="K147" i="2"/>
  <c r="K112" i="2" s="1"/>
  <c r="E20" i="5" s="1"/>
  <c r="U147" i="2"/>
  <c r="U112" i="2" s="1"/>
  <c r="G20" i="5" s="1"/>
  <c r="P147" i="2"/>
  <c r="P112" i="2" s="1"/>
  <c r="F20" i="5" s="1"/>
  <c r="F438" i="2"/>
  <c r="E38" i="5"/>
  <c r="F37" i="5"/>
  <c r="F35" i="5"/>
  <c r="F38" i="5"/>
  <c r="F36" i="5"/>
  <c r="G38" i="5"/>
  <c r="G36" i="5"/>
  <c r="G35" i="5"/>
  <c r="E35" i="5"/>
  <c r="D16" i="5"/>
  <c r="D18" i="5"/>
  <c r="F14" i="5"/>
  <c r="D15" i="5"/>
  <c r="G14" i="5"/>
  <c r="F329" i="2"/>
  <c r="I200" i="2"/>
  <c r="F200" i="2"/>
  <c r="J200" i="2"/>
  <c r="G200" i="2"/>
  <c r="H200" i="2"/>
  <c r="E202" i="2"/>
  <c r="E204" i="2"/>
  <c r="E201" i="2"/>
  <c r="E203" i="2"/>
  <c r="E439" i="2"/>
  <c r="E341" i="2"/>
  <c r="E440" i="2"/>
  <c r="E434" i="2"/>
  <c r="E433" i="2" s="1"/>
  <c r="E429" i="2"/>
  <c r="E438" i="2" l="1"/>
  <c r="G37" i="5"/>
  <c r="G34" i="5" s="1"/>
  <c r="F34" i="5"/>
  <c r="D38" i="5"/>
  <c r="D35" i="5"/>
  <c r="M331" i="2"/>
  <c r="L331" i="2"/>
  <c r="F224" i="2"/>
  <c r="F146" i="2"/>
  <c r="J146" i="2"/>
  <c r="M138" i="2"/>
  <c r="F31" i="2"/>
  <c r="F30" i="2"/>
  <c r="F404" i="2"/>
  <c r="F403" i="2" s="1"/>
  <c r="G331" i="2" l="1"/>
  <c r="G329" i="2" s="1"/>
  <c r="G328" i="2" s="1"/>
  <c r="L329" i="2"/>
  <c r="L328" i="2" s="1"/>
  <c r="H331" i="2"/>
  <c r="H329" i="2" s="1"/>
  <c r="H328" i="2" s="1"/>
  <c r="M329" i="2"/>
  <c r="M328" i="2" s="1"/>
  <c r="H138" i="2"/>
  <c r="H131" i="2" s="1"/>
  <c r="M131" i="2"/>
  <c r="J331" i="2"/>
  <c r="J329" i="2" s="1"/>
  <c r="E79" i="2"/>
  <c r="E78" i="2" s="1"/>
  <c r="E30" i="2"/>
  <c r="E31" i="2"/>
  <c r="E404" i="2"/>
  <c r="E403" i="2" s="1"/>
  <c r="E224" i="2"/>
  <c r="E146" i="2"/>
  <c r="O428" i="2"/>
  <c r="O427" i="2" s="1"/>
  <c r="O212" i="2"/>
  <c r="O211" i="2" s="1"/>
  <c r="O210" i="2" l="1"/>
  <c r="E37" i="5"/>
  <c r="D37" i="5" s="1"/>
  <c r="L9" i="2"/>
  <c r="E331" i="2"/>
  <c r="E329" i="2" s="1"/>
  <c r="I149" i="2"/>
  <c r="I148" i="2" s="1"/>
  <c r="T149" i="2"/>
  <c r="T148" i="2" s="1"/>
  <c r="G149" i="2"/>
  <c r="G148" i="2" s="1"/>
  <c r="X173" i="2"/>
  <c r="V173" i="2"/>
  <c r="E200" i="2"/>
  <c r="E340" i="2"/>
  <c r="V147" i="2" l="1"/>
  <c r="V112" i="2" s="1"/>
  <c r="G21" i="5" s="1"/>
  <c r="X147" i="2"/>
  <c r="X112" i="2" s="1"/>
  <c r="G23" i="5" s="1"/>
  <c r="E36" i="5"/>
  <c r="E34" i="5" s="1"/>
  <c r="Q173" i="2"/>
  <c r="S173" i="2"/>
  <c r="S147" i="2" s="1"/>
  <c r="Q147" i="2" l="1"/>
  <c r="Q112" i="2" s="1"/>
  <c r="F21" i="5" s="1"/>
  <c r="S112" i="2"/>
  <c r="S9" i="2" s="1"/>
  <c r="D36" i="5"/>
  <c r="D34" i="5" s="1"/>
  <c r="J149" i="2"/>
  <c r="J148" i="2" s="1"/>
  <c r="J190" i="2"/>
  <c r="J189" i="2" s="1"/>
  <c r="I173" i="2"/>
  <c r="N173" i="2"/>
  <c r="N147" i="2" s="1"/>
  <c r="T185" i="2"/>
  <c r="T176" i="2"/>
  <c r="T179" i="2"/>
  <c r="T180" i="2"/>
  <c r="T177" i="2"/>
  <c r="T184" i="2"/>
  <c r="T183" i="2"/>
  <c r="T181" i="2"/>
  <c r="T182" i="2"/>
  <c r="T178" i="2"/>
  <c r="T175" i="2"/>
  <c r="R183" i="2"/>
  <c r="O183" i="2" s="1"/>
  <c r="R178" i="2"/>
  <c r="O178" i="2" s="1"/>
  <c r="R174" i="2"/>
  <c r="M176" i="2"/>
  <c r="M179" i="2"/>
  <c r="M180" i="2"/>
  <c r="M177" i="2"/>
  <c r="M183" i="2"/>
  <c r="M181" i="2"/>
  <c r="M182" i="2"/>
  <c r="M178" i="2"/>
  <c r="M175" i="2"/>
  <c r="M174" i="2"/>
  <c r="F23" i="5" l="1"/>
  <c r="I147" i="2"/>
  <c r="I112" i="2" s="1"/>
  <c r="I9" i="2" s="1"/>
  <c r="N112" i="2"/>
  <c r="N9" i="2" s="1"/>
  <c r="R173" i="2"/>
  <c r="D21" i="5"/>
  <c r="D20" i="5"/>
  <c r="H174" i="2"/>
  <c r="H180" i="2"/>
  <c r="J180" i="2"/>
  <c r="H176" i="2"/>
  <c r="J176" i="2"/>
  <c r="H182" i="2"/>
  <c r="J182" i="2"/>
  <c r="J175" i="2"/>
  <c r="H175" i="2"/>
  <c r="H178" i="2"/>
  <c r="J178" i="2"/>
  <c r="J179" i="2"/>
  <c r="H179" i="2"/>
  <c r="H181" i="2"/>
  <c r="J181" i="2"/>
  <c r="J183" i="2"/>
  <c r="H183" i="2"/>
  <c r="H177" i="2"/>
  <c r="J177" i="2"/>
  <c r="E190" i="2"/>
  <c r="E189" i="2" s="1"/>
  <c r="M173" i="2"/>
  <c r="O174" i="2"/>
  <c r="J174" i="2"/>
  <c r="W173" i="2"/>
  <c r="T174" i="2"/>
  <c r="T173" i="2" s="1"/>
  <c r="T147" i="2" s="1"/>
  <c r="E23" i="5" l="1"/>
  <c r="W147" i="2"/>
  <c r="W112" i="2" s="1"/>
  <c r="G22" i="5" s="1"/>
  <c r="R147" i="2"/>
  <c r="R112" i="2" s="1"/>
  <c r="F22" i="5" s="1"/>
  <c r="M147" i="2"/>
  <c r="M112" i="2" s="1"/>
  <c r="E22" i="5" s="1"/>
  <c r="D23" i="5"/>
  <c r="J173" i="2"/>
  <c r="J147" i="2" s="1"/>
  <c r="O173" i="2"/>
  <c r="O147" i="2" s="1"/>
  <c r="F516" i="2"/>
  <c r="E516" i="2" s="1"/>
  <c r="F517" i="2"/>
  <c r="E517" i="2" s="1"/>
  <c r="F519" i="2"/>
  <c r="E519" i="2" s="1"/>
  <c r="F428" i="2"/>
  <c r="F427" i="2" s="1"/>
  <c r="J428" i="2"/>
  <c r="J427" i="2" s="1"/>
  <c r="F361" i="2"/>
  <c r="E361" i="2" s="1"/>
  <c r="F356" i="2"/>
  <c r="E356" i="2" s="1"/>
  <c r="F266" i="2"/>
  <c r="F267" i="2"/>
  <c r="F268" i="2"/>
  <c r="F269" i="2"/>
  <c r="F270" i="2"/>
  <c r="F263" i="2"/>
  <c r="F264" i="2"/>
  <c r="F265" i="2"/>
  <c r="D22" i="5" l="1"/>
  <c r="D19" i="5" s="1"/>
  <c r="E19" i="5"/>
  <c r="F19" i="5"/>
  <c r="G19" i="5"/>
  <c r="E267" i="2"/>
  <c r="E269" i="2"/>
  <c r="E268" i="2"/>
  <c r="E270" i="2"/>
  <c r="E266" i="2"/>
  <c r="E265" i="2"/>
  <c r="E264" i="2"/>
  <c r="E263" i="2"/>
  <c r="E428" i="2"/>
  <c r="F175" i="2"/>
  <c r="E175" i="2" s="1"/>
  <c r="F178" i="2"/>
  <c r="E178" i="2" s="1"/>
  <c r="F182" i="2"/>
  <c r="E182" i="2" s="1"/>
  <c r="F181" i="2"/>
  <c r="E181" i="2" s="1"/>
  <c r="F183" i="2"/>
  <c r="E183" i="2" s="1"/>
  <c r="F177" i="2"/>
  <c r="E177" i="2" s="1"/>
  <c r="F184" i="2"/>
  <c r="E184" i="2" s="1"/>
  <c r="F180" i="2"/>
  <c r="E180" i="2" s="1"/>
  <c r="F179" i="2"/>
  <c r="E179" i="2" s="1"/>
  <c r="F176" i="2"/>
  <c r="E176" i="2" s="1"/>
  <c r="F185" i="2"/>
  <c r="E185" i="2" s="1"/>
  <c r="F174" i="2"/>
  <c r="E15" i="2"/>
  <c r="H173" i="2" l="1"/>
  <c r="E174" i="2"/>
  <c r="F173" i="2"/>
  <c r="G173" i="2"/>
  <c r="G147" i="2" l="1"/>
  <c r="G112" i="2" s="1"/>
  <c r="G9" i="2" s="1"/>
  <c r="H147" i="2"/>
  <c r="H112" i="2" s="1"/>
  <c r="E173" i="2"/>
  <c r="F524" i="2" l="1"/>
  <c r="E524" i="2" s="1"/>
  <c r="F532" i="2"/>
  <c r="E532" i="2" s="1"/>
  <c r="F531" i="2"/>
  <c r="E531" i="2" s="1"/>
  <c r="F530" i="2"/>
  <c r="E530" i="2" s="1"/>
  <c r="F529" i="2"/>
  <c r="E529" i="2" s="1"/>
  <c r="F528" i="2"/>
  <c r="E528" i="2" s="1"/>
  <c r="F527" i="2"/>
  <c r="E527" i="2" s="1"/>
  <c r="F526" i="2"/>
  <c r="E526" i="2" s="1"/>
  <c r="F525" i="2"/>
  <c r="E525" i="2" s="1"/>
  <c r="F523" i="2"/>
  <c r="E523" i="2" s="1"/>
  <c r="F522" i="2"/>
  <c r="E522" i="2" s="1"/>
  <c r="F521" i="2"/>
  <c r="E521" i="2" s="1"/>
  <c r="F518" i="2"/>
  <c r="E518" i="2" s="1"/>
  <c r="F515" i="2"/>
  <c r="F425" i="2"/>
  <c r="F424" i="2" s="1"/>
  <c r="F422" i="2"/>
  <c r="F421" i="2" s="1"/>
  <c r="F402" i="2"/>
  <c r="E402" i="2" s="1"/>
  <c r="F401" i="2"/>
  <c r="E401" i="2" s="1"/>
  <c r="F400" i="2"/>
  <c r="E400" i="2" s="1"/>
  <c r="F399" i="2"/>
  <c r="E399" i="2" s="1"/>
  <c r="F398" i="2"/>
  <c r="E398" i="2" s="1"/>
  <c r="F397" i="2"/>
  <c r="E397" i="2" s="1"/>
  <c r="F396" i="2"/>
  <c r="E396" i="2" s="1"/>
  <c r="F395" i="2"/>
  <c r="E395" i="2" s="1"/>
  <c r="F394" i="2"/>
  <c r="E394" i="2" s="1"/>
  <c r="F393" i="2"/>
  <c r="E393" i="2" s="1"/>
  <c r="F392" i="2"/>
  <c r="E392" i="2" s="1"/>
  <c r="F391" i="2"/>
  <c r="E391" i="2" s="1"/>
  <c r="F390" i="2"/>
  <c r="E390" i="2" s="1"/>
  <c r="F389" i="2"/>
  <c r="E389" i="2" s="1"/>
  <c r="F386" i="2"/>
  <c r="E386" i="2" s="1"/>
  <c r="F385" i="2"/>
  <c r="F388" i="2"/>
  <c r="E388" i="2" s="1"/>
  <c r="F367" i="2"/>
  <c r="E367" i="2" s="1"/>
  <c r="F383" i="2"/>
  <c r="E383" i="2" s="1"/>
  <c r="F382" i="2"/>
  <c r="E382" i="2" s="1"/>
  <c r="F381" i="2"/>
  <c r="E381" i="2" s="1"/>
  <c r="F380" i="2"/>
  <c r="E380" i="2" s="1"/>
  <c r="F379" i="2"/>
  <c r="E379" i="2" s="1"/>
  <c r="F378" i="2"/>
  <c r="E378" i="2" s="1"/>
  <c r="F377" i="2"/>
  <c r="E377" i="2" s="1"/>
  <c r="F376" i="2"/>
  <c r="E376" i="2" s="1"/>
  <c r="F375" i="2"/>
  <c r="E375" i="2" s="1"/>
  <c r="F374" i="2"/>
  <c r="E374" i="2" s="1"/>
  <c r="F373" i="2"/>
  <c r="E373" i="2" s="1"/>
  <c r="F372" i="2"/>
  <c r="E372" i="2" s="1"/>
  <c r="F371" i="2"/>
  <c r="E371" i="2" s="1"/>
  <c r="F370" i="2"/>
  <c r="E370" i="2" s="1"/>
  <c r="F369" i="2"/>
  <c r="E369" i="2" s="1"/>
  <c r="F368" i="2"/>
  <c r="E368" i="2" s="1"/>
  <c r="F366" i="2"/>
  <c r="E366" i="2" s="1"/>
  <c r="F365" i="2"/>
  <c r="F355" i="2"/>
  <c r="E355" i="2" s="1"/>
  <c r="F354" i="2"/>
  <c r="F346" i="2"/>
  <c r="F345" i="2"/>
  <c r="F349" i="2"/>
  <c r="F343" i="2"/>
  <c r="F347" i="2"/>
  <c r="F352" i="2"/>
  <c r="F351" i="2"/>
  <c r="F350" i="2"/>
  <c r="F348" i="2"/>
  <c r="F344" i="2"/>
  <c r="F281" i="2"/>
  <c r="F280" i="2" s="1"/>
  <c r="F262" i="2"/>
  <c r="F261" i="2"/>
  <c r="F260" i="2"/>
  <c r="F259" i="2"/>
  <c r="F258" i="2"/>
  <c r="F257" i="2"/>
  <c r="F256" i="2"/>
  <c r="F255" i="2"/>
  <c r="F253" i="2"/>
  <c r="F222" i="2"/>
  <c r="F221" i="2" s="1"/>
  <c r="F149" i="2"/>
  <c r="F148" i="2" s="1"/>
  <c r="F145" i="2"/>
  <c r="F137" i="2"/>
  <c r="F136" i="2"/>
  <c r="F135" i="2"/>
  <c r="F133" i="2"/>
  <c r="F134" i="2"/>
  <c r="F132" i="2"/>
  <c r="F144" i="2"/>
  <c r="F143" i="2"/>
  <c r="F140" i="2"/>
  <c r="F138" i="2"/>
  <c r="F142" i="2"/>
  <c r="F139" i="2"/>
  <c r="F129" i="2"/>
  <c r="F128" i="2"/>
  <c r="F130" i="2"/>
  <c r="F121" i="2"/>
  <c r="F114" i="2"/>
  <c r="F126" i="2"/>
  <c r="F125" i="2"/>
  <c r="F124" i="2"/>
  <c r="F123" i="2"/>
  <c r="F122" i="2"/>
  <c r="F119" i="2"/>
  <c r="F118" i="2"/>
  <c r="F117" i="2"/>
  <c r="F116" i="2"/>
  <c r="F29" i="2"/>
  <c r="F28" i="2"/>
  <c r="F27" i="2"/>
  <c r="F26" i="2"/>
  <c r="F25" i="2"/>
  <c r="F14" i="2"/>
  <c r="F13" i="2"/>
  <c r="F252" i="2" l="1"/>
  <c r="F147" i="2"/>
  <c r="F251" i="2"/>
  <c r="F353" i="2"/>
  <c r="F514" i="2"/>
  <c r="F513" i="2" s="1"/>
  <c r="F24" i="2"/>
  <c r="F342" i="2"/>
  <c r="F364" i="2"/>
  <c r="F113" i="2"/>
  <c r="F127" i="2"/>
  <c r="F131" i="2"/>
  <c r="E149" i="2"/>
  <c r="E148" i="2" s="1"/>
  <c r="F384" i="2"/>
  <c r="E13" i="2"/>
  <c r="E256" i="2"/>
  <c r="E258" i="2"/>
  <c r="E260" i="2"/>
  <c r="E262" i="2"/>
  <c r="E14" i="2"/>
  <c r="E222" i="2"/>
  <c r="E221" i="2" s="1"/>
  <c r="E255" i="2"/>
  <c r="E257" i="2"/>
  <c r="E259" i="2"/>
  <c r="E261" i="2"/>
  <c r="F112" i="2" l="1"/>
  <c r="E147" i="2"/>
  <c r="F339" i="2"/>
  <c r="F363" i="2"/>
  <c r="F328" i="2" l="1"/>
  <c r="F212" i="2"/>
  <c r="F211" i="2" s="1"/>
  <c r="F210" i="2" l="1"/>
  <c r="E212" i="2"/>
  <c r="E211" i="2" s="1"/>
  <c r="J385" i="2"/>
  <c r="J384" i="2" s="1"/>
  <c r="O385" i="2"/>
  <c r="O384" i="2" s="1"/>
  <c r="T385" i="2"/>
  <c r="T384" i="2" s="1"/>
  <c r="E210" i="2" l="1"/>
  <c r="E385" i="2"/>
  <c r="O281" i="2" l="1"/>
  <c r="O280" i="2" s="1"/>
  <c r="J281" i="2"/>
  <c r="J280" i="2" s="1"/>
  <c r="O251" i="2" l="1"/>
  <c r="E281" i="2"/>
  <c r="E280" i="2" s="1"/>
  <c r="J253" i="2" l="1"/>
  <c r="J252" i="2" s="1"/>
  <c r="J251" i="2" l="1"/>
  <c r="T354" i="2"/>
  <c r="T353" i="2" s="1"/>
  <c r="O354" i="2"/>
  <c r="O353" i="2" s="1"/>
  <c r="J354" i="2"/>
  <c r="J353" i="2" s="1"/>
  <c r="E384" i="2" l="1"/>
  <c r="E354" i="2"/>
  <c r="E353" i="2" s="1"/>
  <c r="M29" i="2"/>
  <c r="J29" i="2" l="1"/>
  <c r="H29" i="2"/>
  <c r="H24" i="2" s="1"/>
  <c r="H10" i="2" s="1"/>
  <c r="H9" i="2" s="1"/>
  <c r="M24" i="2"/>
  <c r="M10" i="2" s="1"/>
  <c r="M9" i="2" s="1"/>
  <c r="E17" i="5" l="1"/>
  <c r="E29" i="2"/>
  <c r="D17" i="5" l="1"/>
  <c r="D14" i="5" s="1"/>
  <c r="E14" i="5"/>
  <c r="E427" i="2"/>
  <c r="T515" i="2"/>
  <c r="T514" i="2" s="1"/>
  <c r="T513" i="2" s="1"/>
  <c r="O515" i="2"/>
  <c r="O514" i="2" s="1"/>
  <c r="O513" i="2" s="1"/>
  <c r="J515" i="2"/>
  <c r="J514" i="2" s="1"/>
  <c r="J513" i="2" s="1"/>
  <c r="J425" i="2"/>
  <c r="J424" i="2" s="1"/>
  <c r="O422" i="2"/>
  <c r="O421" i="2" s="1"/>
  <c r="J422" i="2"/>
  <c r="J421" i="2" s="1"/>
  <c r="T367" i="2"/>
  <c r="O367" i="2"/>
  <c r="T383" i="2"/>
  <c r="O383" i="2"/>
  <c r="T382" i="2"/>
  <c r="O382" i="2"/>
  <c r="T381" i="2"/>
  <c r="O381" i="2"/>
  <c r="T380" i="2"/>
  <c r="O380" i="2"/>
  <c r="T379" i="2"/>
  <c r="O379" i="2"/>
  <c r="T378" i="2"/>
  <c r="O378" i="2"/>
  <c r="T377" i="2"/>
  <c r="O377" i="2"/>
  <c r="T376" i="2"/>
  <c r="O376" i="2"/>
  <c r="T375" i="2"/>
  <c r="O375" i="2"/>
  <c r="T374" i="2"/>
  <c r="O374" i="2"/>
  <c r="T373" i="2"/>
  <c r="O373" i="2"/>
  <c r="T372" i="2"/>
  <c r="O372" i="2"/>
  <c r="T371" i="2"/>
  <c r="O371" i="2"/>
  <c r="T370" i="2"/>
  <c r="O370" i="2"/>
  <c r="T369" i="2"/>
  <c r="O369" i="2"/>
  <c r="T368" i="2"/>
  <c r="O368" i="2"/>
  <c r="T366" i="2"/>
  <c r="O366" i="2"/>
  <c r="T365" i="2"/>
  <c r="O365" i="2"/>
  <c r="J365" i="2"/>
  <c r="J364" i="2" s="1"/>
  <c r="J363" i="2" s="1"/>
  <c r="T343" i="2"/>
  <c r="T342" i="2" s="1"/>
  <c r="T339" i="2" s="1"/>
  <c r="O343" i="2"/>
  <c r="O342" i="2" s="1"/>
  <c r="O339" i="2" s="1"/>
  <c r="J343" i="2"/>
  <c r="J342" i="2" s="1"/>
  <c r="J339" i="2" s="1"/>
  <c r="T253" i="2"/>
  <c r="T252" i="2" s="1"/>
  <c r="F12" i="2"/>
  <c r="F11" i="2" s="1"/>
  <c r="J212" i="2"/>
  <c r="J211" i="2" s="1"/>
  <c r="J145" i="2"/>
  <c r="J137" i="2"/>
  <c r="J136" i="2"/>
  <c r="J135" i="2"/>
  <c r="J133" i="2"/>
  <c r="J134" i="2"/>
  <c r="O132" i="2"/>
  <c r="O131" i="2" s="1"/>
  <c r="J132" i="2"/>
  <c r="J144" i="2"/>
  <c r="J143" i="2"/>
  <c r="J140" i="2"/>
  <c r="J138" i="2"/>
  <c r="J139" i="2"/>
  <c r="T129" i="2"/>
  <c r="T128" i="2"/>
  <c r="O128" i="2"/>
  <c r="O127" i="2" s="1"/>
  <c r="J128" i="2"/>
  <c r="J127" i="2" s="1"/>
  <c r="T130" i="2"/>
  <c r="T121" i="2"/>
  <c r="O121" i="2"/>
  <c r="T114" i="2"/>
  <c r="O114" i="2"/>
  <c r="J114" i="2"/>
  <c r="J113" i="2" s="1"/>
  <c r="T126" i="2"/>
  <c r="O126" i="2"/>
  <c r="T125" i="2"/>
  <c r="O125" i="2"/>
  <c r="T124" i="2"/>
  <c r="O124" i="2"/>
  <c r="T123" i="2"/>
  <c r="O123" i="2"/>
  <c r="T122" i="2"/>
  <c r="O122" i="2"/>
  <c r="T119" i="2"/>
  <c r="O119" i="2"/>
  <c r="T118" i="2"/>
  <c r="O118" i="2"/>
  <c r="T117" i="2"/>
  <c r="O117" i="2"/>
  <c r="T116" i="2"/>
  <c r="O116" i="2"/>
  <c r="T25" i="2"/>
  <c r="O25" i="2"/>
  <c r="O24" i="2" s="1"/>
  <c r="O10" i="2" s="1"/>
  <c r="J25" i="2"/>
  <c r="J24" i="2" s="1"/>
  <c r="J10" i="2" s="1"/>
  <c r="J210" i="2" l="1"/>
  <c r="J328" i="2"/>
  <c r="T24" i="2"/>
  <c r="T10" i="2" s="1"/>
  <c r="T251" i="2"/>
  <c r="E12" i="2"/>
  <c r="E11" i="2" s="1"/>
  <c r="O364" i="2"/>
  <c r="O363" i="2" s="1"/>
  <c r="O328" i="2" s="1"/>
  <c r="O113" i="2"/>
  <c r="O112" i="2" s="1"/>
  <c r="T127" i="2"/>
  <c r="T364" i="2"/>
  <c r="T363" i="2" s="1"/>
  <c r="T328" i="2" s="1"/>
  <c r="T113" i="2"/>
  <c r="T131" i="2"/>
  <c r="J131" i="2"/>
  <c r="J112" i="2" s="1"/>
  <c r="E348" i="2"/>
  <c r="E346" i="2"/>
  <c r="E343" i="2"/>
  <c r="E350" i="2"/>
  <c r="E344" i="2"/>
  <c r="E345" i="2"/>
  <c r="E349" i="2"/>
  <c r="E515" i="2"/>
  <c r="E514" i="2" s="1"/>
  <c r="E513" i="2" s="1"/>
  <c r="E347" i="2"/>
  <c r="E352" i="2"/>
  <c r="E351" i="2"/>
  <c r="E365" i="2"/>
  <c r="E422" i="2"/>
  <c r="E421" i="2" s="1"/>
  <c r="E425" i="2"/>
  <c r="E424" i="2" s="1"/>
  <c r="E132" i="2"/>
  <c r="E133" i="2"/>
  <c r="E253" i="2"/>
  <c r="E121" i="2"/>
  <c r="E117" i="2"/>
  <c r="E119" i="2"/>
  <c r="E126" i="2"/>
  <c r="E137" i="2"/>
  <c r="E145" i="2"/>
  <c r="E135" i="2"/>
  <c r="E26" i="2"/>
  <c r="E123" i="2"/>
  <c r="E130" i="2"/>
  <c r="E139" i="2"/>
  <c r="E138" i="2"/>
  <c r="E28" i="2"/>
  <c r="E125" i="2"/>
  <c r="E25" i="2"/>
  <c r="E27" i="2"/>
  <c r="E140" i="2"/>
  <c r="E144" i="2"/>
  <c r="E143" i="2"/>
  <c r="E142" i="2"/>
  <c r="E136" i="2"/>
  <c r="E114" i="2"/>
  <c r="E122" i="2"/>
  <c r="E118" i="2"/>
  <c r="E116" i="2"/>
  <c r="E124" i="2"/>
  <c r="E129" i="2"/>
  <c r="E134" i="2"/>
  <c r="E128" i="2"/>
  <c r="E252" i="2" l="1"/>
  <c r="E251" i="2" s="1"/>
  <c r="E24" i="2"/>
  <c r="T112" i="2"/>
  <c r="F10" i="2"/>
  <c r="E364" i="2"/>
  <c r="E363" i="2" s="1"/>
  <c r="E131" i="2"/>
  <c r="E342" i="2"/>
  <c r="E113" i="2"/>
  <c r="E127" i="2"/>
  <c r="E112" i="2" l="1"/>
  <c r="E10" i="2"/>
  <c r="E339" i="2"/>
  <c r="E328" i="2" s="1"/>
  <c r="AG9" i="2"/>
  <c r="X9" i="2"/>
  <c r="AE9" i="2"/>
  <c r="AI9" i="2"/>
  <c r="G26" i="5"/>
  <c r="G11" i="5" s="1"/>
  <c r="M25" i="5"/>
  <c r="AJ9" i="2"/>
  <c r="T9" i="2"/>
  <c r="AF9" i="2"/>
  <c r="M26" i="5"/>
  <c r="M11" i="5" s="1"/>
  <c r="Q9" i="2"/>
  <c r="F26" i="5"/>
  <c r="F11" i="5" s="1"/>
  <c r="R9" i="2"/>
  <c r="AD9" i="2"/>
  <c r="O9" i="2"/>
  <c r="W9" i="2"/>
  <c r="G27" i="5"/>
  <c r="G12" i="5" s="1"/>
  <c r="M27" i="5"/>
  <c r="M12" i="5" s="1"/>
  <c r="F28" i="5"/>
  <c r="F13" i="5" s="1"/>
  <c r="Y9" i="2"/>
  <c r="U9" i="2"/>
  <c r="E27" i="5"/>
  <c r="G28" i="5"/>
  <c r="G13" i="5" s="1"/>
  <c r="E28" i="5"/>
  <c r="E25" i="5"/>
  <c r="J9" i="2"/>
  <c r="P9" i="2"/>
  <c r="F25" i="5"/>
  <c r="F27" i="5"/>
  <c r="F12" i="5" s="1"/>
  <c r="P28" i="5"/>
  <c r="P13" i="5" s="1"/>
  <c r="AB9" i="2"/>
  <c r="J27" i="5"/>
  <c r="J12" i="5" s="1"/>
  <c r="E9" i="2" l="1"/>
  <c r="V9" i="2"/>
  <c r="K9" i="2"/>
  <c r="AH9" i="2"/>
  <c r="M28" i="5"/>
  <c r="M13" i="5" s="1"/>
  <c r="AL9" i="2"/>
  <c r="P27" i="5"/>
  <c r="P12" i="5" s="1"/>
  <c r="AK9" i="2"/>
  <c r="P26" i="5"/>
  <c r="P11" i="5" s="1"/>
  <c r="E10" i="5"/>
  <c r="E12" i="5"/>
  <c r="J28" i="5"/>
  <c r="J13" i="5" s="1"/>
  <c r="AC9" i="2"/>
  <c r="Z9" i="2"/>
  <c r="J25" i="5"/>
  <c r="AA9" i="2"/>
  <c r="J26" i="5"/>
  <c r="J11" i="5" s="1"/>
  <c r="M10" i="5"/>
  <c r="F24" i="5"/>
  <c r="E13" i="5"/>
  <c r="G25" i="5"/>
  <c r="F10" i="5"/>
  <c r="F9" i="5" s="1"/>
  <c r="P25" i="5"/>
  <c r="E26" i="5"/>
  <c r="AM9" i="2"/>
  <c r="D13" i="5" l="1"/>
  <c r="D28" i="5"/>
  <c r="M9" i="5"/>
  <c r="M24" i="5"/>
  <c r="G10" i="5"/>
  <c r="G9" i="5" s="1"/>
  <c r="G24" i="5"/>
  <c r="D27" i="5"/>
  <c r="J24" i="5"/>
  <c r="J10" i="5"/>
  <c r="J9" i="5" s="1"/>
  <c r="E11" i="5"/>
  <c r="D11" i="5" s="1"/>
  <c r="D26" i="5"/>
  <c r="D12" i="5"/>
  <c r="D25" i="5"/>
  <c r="P24" i="5"/>
  <c r="P10" i="5"/>
  <c r="P9" i="5" s="1"/>
  <c r="E24" i="5"/>
  <c r="E9" i="5" l="1"/>
  <c r="D24" i="5"/>
  <c r="D10" i="5"/>
  <c r="D9" i="5" s="1"/>
</calcChain>
</file>

<file path=xl/comments1.xml><?xml version="1.0" encoding="utf-8"?>
<comments xmlns="http://schemas.openxmlformats.org/spreadsheetml/2006/main">
  <authors>
    <author>Автор</author>
  </authors>
  <commentList>
    <comment ref="B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ДЭС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B15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изменилось название мероприятия</t>
        </r>
      </text>
    </comment>
    <comment ref="B27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изменилось название мероприятия</t>
        </r>
      </text>
    </comment>
    <comment ref="B45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изменено наименование, сл.142</t>
        </r>
      </text>
    </comment>
  </commentList>
</comments>
</file>

<file path=xl/sharedStrings.xml><?xml version="1.0" encoding="utf-8"?>
<sst xmlns="http://schemas.openxmlformats.org/spreadsheetml/2006/main" count="2420" uniqueCount="1171">
  <si>
    <t>Исполнитель</t>
  </si>
  <si>
    <t>Всего</t>
  </si>
  <si>
    <t>№</t>
  </si>
  <si>
    <t>Подпрограмма 3 "Обеспечение населения муниципального района "Заполярный район" чистой водой"</t>
  </si>
  <si>
    <t>Подпрограмма 4 "Энергоэффективность и развитие энергетики муниципального района "Заполярный район"</t>
  </si>
  <si>
    <t>в том числе</t>
  </si>
  <si>
    <t>Наименование 
мероприятия</t>
  </si>
  <si>
    <t>Подпрограмма 1 "Строительство (приобретение) и проведение мероприятий по капитальному и текущему ремонту жилых помещений муниципального района "Заполярный район"</t>
  </si>
  <si>
    <t>МКУ ЗР "Северное"</t>
  </si>
  <si>
    <t>2017 год</t>
  </si>
  <si>
    <t>2018 год</t>
  </si>
  <si>
    <t>2019 год</t>
  </si>
  <si>
    <t>Раздел 2. Содержание мест причаливания речного транспорта в поселениях</t>
  </si>
  <si>
    <t>Раздел 4.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</si>
  <si>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Приобретение и доставка судна на воздушной подушке "Нептун 23"</t>
  </si>
  <si>
    <t>Раздел 1. Энергоснабжение и повышение энергетической эффективности</t>
  </si>
  <si>
    <t>Реконструкция объекта "Межпоселковая ЛЭП 10 кВ: с. Нижняя Пеша - д. Волоковая, Ненецкий автономный округ"</t>
  </si>
  <si>
    <t>Разработка проектной документации на реконструкцию тепловых сетей в п. Хорей-Вер</t>
  </si>
  <si>
    <t>Разработка проектной документации на строительство автоматизированной водогрейной котельной № 1 в п. Хорей-Вер</t>
  </si>
  <si>
    <t>Разработка проектной документации на строительство тепловых сетей в п. Хорей-Вер</t>
  </si>
  <si>
    <t>Разработка проектной документации на строительство автоматизированной водогрейной котельной № 2 в п. Хорей-Вер</t>
  </si>
  <si>
    <t>Раздел 1. Строительство объектов образования</t>
  </si>
  <si>
    <t>МО "ГП "Рабочий поселок Искателей"</t>
  </si>
  <si>
    <t>МО "Городское поселение "Рабочий поселок Искателей"</t>
  </si>
  <si>
    <t>Раздел 4. Проведение работ по сохранению объектов культурного наследия</t>
  </si>
  <si>
    <t>Покраска фасада объекта культурного наследия регионального значения «Благовещенская церковь» в с. Несь</t>
  </si>
  <si>
    <t xml:space="preserve">Раздел 5. Строительство спортивных объектов </t>
  </si>
  <si>
    <t>Завершение строительства объекта «Спортивное сооружение с универсальным игровым залом 
в п. Амдерма НАО» с реконструкцией существующих несущих конструкций</t>
  </si>
  <si>
    <t>Разработка проектной документации на реконструкцию наружных сетей тепло- и водоснабжения п. Амдерма</t>
  </si>
  <si>
    <t>районный бюджет</t>
  </si>
  <si>
    <t>5.3.3.</t>
  </si>
  <si>
    <t>УЖКХиС Администрации Заполярного района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</si>
  <si>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</si>
  <si>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</si>
  <si>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</si>
  <si>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</si>
  <si>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 xml:space="preserve">Раздел 2. Создание условий для оказания бытовых (банных) услуг населению </t>
  </si>
  <si>
    <t>Раздел 1. Содержание авиаплощадок в поселениях</t>
  </si>
  <si>
    <t>Раздел 2. Создание условий для обеспечения населения чистой водой</t>
  </si>
  <si>
    <t>Замена котла в центральной котельной п. Амдерма</t>
  </si>
  <si>
    <t>Раздел 2. Подготовка объектов коммунальной инфраструктуры к осенне-зимнему периоду</t>
  </si>
  <si>
    <t>МП ЗР "Севержилкомсервис"</t>
  </si>
  <si>
    <t>Строительство объекта "Школа на 100 мест в с. Тельвиска Ненецкого автономного округа"</t>
  </si>
  <si>
    <t>Раздел 1. Строительство (приобретение) жилья</t>
  </si>
  <si>
    <t>Разработка проектной документации на модернизацию центральной котельной в п. Харута</t>
  </si>
  <si>
    <t>Разработка проектной документации на реконструкцию тепловых сетей в п. Харута</t>
  </si>
  <si>
    <t>Капитальный ремонт жилого дома № 29 по ул. Морская в п. Индига МО "Тиманский сельсовет" НАО</t>
  </si>
  <si>
    <t>Капитальный ремонт жилого дома № 4 по ул. Северная в п. Красное МО "Приморско-Куйский сельсовет" НАО</t>
  </si>
  <si>
    <t>Капитальный ремонт жилого дома № 63 в д. Каменка МО "Пустозерский сельсовет" НАО</t>
  </si>
  <si>
    <t>МО "Канинский сельсовет" НАО</t>
  </si>
  <si>
    <t>МО "Карский сельсовет" НАО</t>
  </si>
  <si>
    <t>МО "Коткинский сельсовет" НАО</t>
  </si>
  <si>
    <t>МО "Малоземельский сельсовет" НАО</t>
  </si>
  <si>
    <t>МО "Пешский сельсовет" НАО</t>
  </si>
  <si>
    <t>МО "Тиманский сельсовет" НАО</t>
  </si>
  <si>
    <t>МО "Хорей-Верский сельсовет" НАО</t>
  </si>
  <si>
    <t>МО "Хоседа-Хардский сельсовет" НАО</t>
  </si>
  <si>
    <t>МО "Шоинский сельсовет" НАО</t>
  </si>
  <si>
    <t>МО "Юшарский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</si>
  <si>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</si>
  <si>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</si>
  <si>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</si>
  <si>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</si>
  <si>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</si>
  <si>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</si>
  <si>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"Колгуевский сельсовет" НАО</t>
  </si>
  <si>
    <t>МО "Андегский сельсовет" НАО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</si>
  <si>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</si>
  <si>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>Завершение строительства объекта «4-квартирный жилой дом в д. Куя»</t>
  </si>
  <si>
    <t>Завершение строительства объекта «12-квартирный жилой дом в п. Харута НАО»</t>
  </si>
  <si>
    <t>Капитальный ремонт жилого дома № 45 в п. Хонгурей МО "Пустозерский сельсовет" НАО</t>
  </si>
  <si>
    <t>Капитальный ремонт многоквартирного жилого дома № 156 по ул. Новая в п. Индига МО "Тиманский сельсовет" НАО</t>
  </si>
  <si>
    <t>Строительство очистных сооружений производительностью 2500 куб. м в сутки в п. Искателей</t>
  </si>
  <si>
    <t>Завершение строительства объектов «4-х квартирный жилой дом № 1 в п. Индига» и «4-х квартирный жилой дом № 2 в п. Индига»</t>
  </si>
  <si>
    <t>1.1.1</t>
  </si>
  <si>
    <t>1.1.2</t>
  </si>
  <si>
    <t>1.1.3</t>
  </si>
  <si>
    <t>1.1.7</t>
  </si>
  <si>
    <t>1.1.8</t>
  </si>
  <si>
    <t>2.4.1</t>
  </si>
  <si>
    <t>2.4.2</t>
  </si>
  <si>
    <t>2.4.2.1</t>
  </si>
  <si>
    <t>2.4.2.2</t>
  </si>
  <si>
    <t>2.4.2.3</t>
  </si>
  <si>
    <t>Капитальный ремонт здания аэропорта в п. Харута</t>
  </si>
  <si>
    <t>2.5</t>
  </si>
  <si>
    <t>2.5.1</t>
  </si>
  <si>
    <t>2.4.1.1</t>
  </si>
  <si>
    <t>2.4.1.2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</si>
  <si>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</si>
  <si>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</si>
  <si>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</si>
  <si>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</si>
  <si>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</si>
  <si>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</si>
  <si>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</si>
  <si>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</si>
  <si>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</si>
  <si>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</si>
  <si>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</si>
  <si>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</si>
  <si>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</si>
  <si>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</si>
  <si>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Установка ГРПБ (газорегуляторный пункт блочный) в п. Красное</t>
  </si>
  <si>
    <t>4.1.15</t>
  </si>
  <si>
    <t>4.2.1</t>
  </si>
  <si>
    <t>Капитальный ремонт ЛЭП от опоры № 1 до опоры № 36 в д. Волоковая</t>
  </si>
  <si>
    <t>Капитальный ремонт ЛЭП от опоры № 36 до опоры № 72 в д. Волоковая</t>
  </si>
  <si>
    <t>Капитальный ремонт ЛЭП от опоры № 72 до опоры № 106 в д. Волоковая</t>
  </si>
  <si>
    <t>Капитальный ремонт ЛЭП от опоры № 106 до опоры № 138 в д. Волоковая</t>
  </si>
  <si>
    <t>Капитальный ремонт КТП для ЛЭП в д. Волоковая</t>
  </si>
  <si>
    <t>Приобретение бани в д. Белушье</t>
  </si>
  <si>
    <t>Капитальный ремонт общественной бани в п. Выучейский</t>
  </si>
  <si>
    <t>Обследование и корректировка проектной документации для строительства объекта «Школа-сад на 50 мест в п. Харута»</t>
  </si>
  <si>
    <t>Обследование и корректировка проектной документации для строительства объекта «Школа-сад в п. Индига»</t>
  </si>
  <si>
    <t>Строительство объекта "Школа на 300 мест в п. Красное"</t>
  </si>
  <si>
    <t>Ремонтные работы на объекте «Культурно-досуговое учреждение в п. Выучейский»</t>
  </si>
  <si>
    <t>Завершение строительства объекта «12-квартирный  жилой дом МО «Тельвисочный сельсовет» НАО»</t>
  </si>
  <si>
    <t>Администрация поселения НАО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</si>
  <si>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</si>
  <si>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</si>
  <si>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</si>
  <si>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</si>
  <si>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</si>
  <si>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</si>
  <si>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</si>
  <si>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</si>
  <si>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</si>
  <si>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</si>
  <si>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</si>
  <si>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</si>
  <si>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</si>
  <si>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</si>
  <si>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</si>
  <si>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</si>
  <si>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</si>
  <si>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</si>
  <si>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1.1</t>
  </si>
  <si>
    <t>1.2</t>
  </si>
  <si>
    <t>1.2.1</t>
  </si>
  <si>
    <t>1.2.2</t>
  </si>
  <si>
    <t>1.2.3</t>
  </si>
  <si>
    <t>1.2.4</t>
  </si>
  <si>
    <t>1.2.5</t>
  </si>
  <si>
    <t>1.2.6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</si>
  <si>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</si>
  <si>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</si>
  <si>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</si>
  <si>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</si>
  <si>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</si>
  <si>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</si>
  <si>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</si>
  <si>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</si>
  <si>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</si>
  <si>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</si>
  <si>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</si>
  <si>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</si>
  <si>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</si>
  <si>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</si>
  <si>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2.2</t>
  </si>
  <si>
    <t>2.2.1</t>
  </si>
  <si>
    <t>2.2.2</t>
  </si>
  <si>
    <t>2.2.3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</si>
  <si>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</si>
  <si>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</si>
  <si>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</si>
  <si>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</si>
  <si>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</si>
  <si>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</si>
  <si>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</si>
  <si>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</si>
  <si>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</si>
  <si>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</si>
  <si>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</si>
  <si>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</si>
  <si>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</si>
  <si>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</si>
  <si>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</si>
  <si>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2.4</t>
  </si>
  <si>
    <t>3.1.1</t>
  </si>
  <si>
    <t>3.2</t>
  </si>
  <si>
    <t>3.1</t>
  </si>
  <si>
    <t>3.2.2</t>
  </si>
  <si>
    <t>3.2.3</t>
  </si>
  <si>
    <t>4.1</t>
  </si>
  <si>
    <t>4.1.16</t>
  </si>
  <si>
    <t>4.1.17</t>
  </si>
  <si>
    <t>4.1.18</t>
  </si>
  <si>
    <t>4.1.19</t>
  </si>
  <si>
    <t>4.1.20</t>
  </si>
  <si>
    <t>5.1.1</t>
  </si>
  <si>
    <t>5.1</t>
  </si>
  <si>
    <t>4.2</t>
  </si>
  <si>
    <t>5.1.2</t>
  </si>
  <si>
    <t>5.1.3</t>
  </si>
  <si>
    <t>5.1.4</t>
  </si>
  <si>
    <t>5.1.5</t>
  </si>
  <si>
    <t>5.2</t>
  </si>
  <si>
    <t>5.2.1</t>
  </si>
  <si>
    <t>5.2.2</t>
  </si>
  <si>
    <t>5.2.2.1</t>
  </si>
  <si>
    <t>5.2.2.2</t>
  </si>
  <si>
    <t>5.2.2.3</t>
  </si>
  <si>
    <t>5.2.2.4</t>
  </si>
  <si>
    <t>5.2.2.5</t>
  </si>
  <si>
    <t>5.2.2.6</t>
  </si>
  <si>
    <t>5.2.2.7</t>
  </si>
  <si>
    <t>5.2.2.8</t>
  </si>
  <si>
    <t>5.2.2.9</t>
  </si>
  <si>
    <t>5.2.2.10</t>
  </si>
  <si>
    <t>5.2.3</t>
  </si>
  <si>
    <t>5.2.3.1</t>
  </si>
  <si>
    <t>5.2.3.2</t>
  </si>
  <si>
    <t>5.2.3.3</t>
  </si>
  <si>
    <t>5.2.3.4</t>
  </si>
  <si>
    <t>5.3</t>
  </si>
  <si>
    <t>5.3.1</t>
  </si>
  <si>
    <t>5.3.1.1</t>
  </si>
  <si>
    <t>5.3.1.2</t>
  </si>
  <si>
    <t>5.3.1.3</t>
  </si>
  <si>
    <t>5.3.1.4</t>
  </si>
  <si>
    <t>5.3.1.5</t>
  </si>
  <si>
    <t>5.3.1.6</t>
  </si>
  <si>
    <t>5.3.1.7</t>
  </si>
  <si>
    <t>5.3.1.8</t>
  </si>
  <si>
    <t>5.3.1.9</t>
  </si>
  <si>
    <t>5.3.1.10</t>
  </si>
  <si>
    <t>5.3.1.11</t>
  </si>
  <si>
    <t>5.3.1.12</t>
  </si>
  <si>
    <t>5.3.1.13</t>
  </si>
  <si>
    <t>5.3.1.14</t>
  </si>
  <si>
    <t>5.3.1.15</t>
  </si>
  <si>
    <t>5.3.1.16</t>
  </si>
  <si>
    <t>5.3.1.17</t>
  </si>
  <si>
    <t>5.3.1.18</t>
  </si>
  <si>
    <t>5.3.1.19</t>
  </si>
  <si>
    <t>5.3.2</t>
  </si>
  <si>
    <t>5.3.2.1</t>
  </si>
  <si>
    <t>5.3.2.2</t>
  </si>
  <si>
    <t>5.3.2.3</t>
  </si>
  <si>
    <t>5.3.2.4</t>
  </si>
  <si>
    <t>5.3.2.5</t>
  </si>
  <si>
    <t>5.3.2.6</t>
  </si>
  <si>
    <t>5.3.2.7</t>
  </si>
  <si>
    <t>5.3.2.8</t>
  </si>
  <si>
    <t>5.3.2.9</t>
  </si>
  <si>
    <t>5.3.2.10</t>
  </si>
  <si>
    <t>5.3.2.11</t>
  </si>
  <si>
    <t>5.3.2.12</t>
  </si>
  <si>
    <t>5.3.2.13</t>
  </si>
  <si>
    <t>5.3.2.14</t>
  </si>
  <si>
    <t>5.3.2.15</t>
  </si>
  <si>
    <t>5.3.2.16</t>
  </si>
  <si>
    <t>5.3.2.17</t>
  </si>
  <si>
    <t>5.4</t>
  </si>
  <si>
    <t>5.4.1</t>
  </si>
  <si>
    <t>5.5</t>
  </si>
  <si>
    <t>5.6</t>
  </si>
  <si>
    <t>5.6.1</t>
  </si>
  <si>
    <t>5.6.2</t>
  </si>
  <si>
    <t>Проведение обследования с корректировкой проектной документации и завершение строительства  ДЭС с гаражом в п. Хорей-Вер с реконструкцией существующих несущих конструкций</t>
  </si>
  <si>
    <t>5.1.6</t>
  </si>
  <si>
    <t>Строительство объекта "Школа на 150 мест в п. Индига"</t>
  </si>
  <si>
    <t>5.1.7</t>
  </si>
  <si>
    <t>Подраздел 1. Благоустройство территорий поселений</t>
  </si>
  <si>
    <t>Раздел 3. Благоустройство и уличное освещение территорий поселений</t>
  </si>
  <si>
    <t>Подраздел 2. Уличное освещение</t>
  </si>
  <si>
    <t>5.2.1.1</t>
  </si>
  <si>
    <t>Юр.лица и ИП, определяемые в соответствии с законодательством РФ</t>
  </si>
  <si>
    <t>Строительство объекта "Тепловые сети в с. Нижняя Пеша Ненецкого автономного округа"</t>
  </si>
  <si>
    <t>Строительство объекта «Школа на 800 мест в п. Искателей» с разработкой ПСД</t>
  </si>
  <si>
    <t>Заказчик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</si>
  <si>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</si>
  <si>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Приобретение общественной бани в с. Нижняя Пеша МО "Пешский сельсовет" НАО</t>
  </si>
  <si>
    <t>5.7.</t>
  </si>
  <si>
    <t>5.7.1</t>
  </si>
  <si>
    <t>Ремонт пешеходного перехода через протоку в д. Андег</t>
  </si>
  <si>
    <t>5.8.</t>
  </si>
  <si>
    <t>5.8.1</t>
  </si>
  <si>
    <t>Приобретение и установка 2-х стел участникам ВОВ в д. Белушье и д. Волонга</t>
  </si>
  <si>
    <t>Раздел 3. Снос ветхих и аварийных домов, признанных непригодными для проживания</t>
  </si>
  <si>
    <t>1.3.</t>
  </si>
  <si>
    <t>1.3.1</t>
  </si>
  <si>
    <t>Снос дома № 18 по ул. Набережная с. Шойна</t>
  </si>
  <si>
    <t>Раздел 7. Приобретение, установка, содержание и благоустройство мемориальных сооружений и объектов, увековечивающих память погибших при защите Отечества</t>
  </si>
  <si>
    <t>1.2.7</t>
  </si>
  <si>
    <t>Ремонт 12-квартирного жилого дома № 14 по ул. Механизаторов в с. Ома</t>
  </si>
  <si>
    <t>1.2.8</t>
  </si>
  <si>
    <t xml:space="preserve">Ремонт 12-квартирного жилого дома № 87а в с. Великовисочное </t>
  </si>
  <si>
    <t>2.3.15</t>
  </si>
  <si>
    <t>Нераспределенный резерв</t>
  </si>
  <si>
    <t>2.6.</t>
  </si>
  <si>
    <t>Раздел 6. Разработка проектов организации дорожного движения на автомобильных дорогах общего пользования местного значения</t>
  </si>
  <si>
    <t>2.6.1</t>
  </si>
  <si>
    <t>2.6.2</t>
  </si>
  <si>
    <t>2.6.3</t>
  </si>
  <si>
    <t>2.6.4</t>
  </si>
  <si>
    <t xml:space="preserve">Отбор проб и исследования воды водных объектов: 
п. Каратайка, с. Несь, п. Бугрино, с. Коткино, д. Пылемец, д. Снопа, п. Выучейский, п. Индига, с. Нижняя Пеша, д. Верхняя Пеша, п. Усть-Кара, 
с. Ома, д. Щелино, д. Волоковая, д. Кия, д. Макарово, д. Верхняя Мгла, д. Белушье, д. Вижас, д. Волонга
</t>
  </si>
  <si>
    <t>Монтаж и обвязка станции очистки воды в с. Нижняя Пеша</t>
  </si>
  <si>
    <t>5.6.3</t>
  </si>
  <si>
    <t>Ремонтные работы на объекте "Культурно-досуговое учреждение в п Хорей-Вер"</t>
  </si>
  <si>
    <t>Изготовление межевых планов на земельные участки под места захоронения в МО "Пешский сельсовет" НАО</t>
  </si>
  <si>
    <t>5.8.2</t>
  </si>
  <si>
    <t>Изготовление межевых планов на земельные участки под питьевые колодцы в МО "Пешский сельсовет" НАО</t>
  </si>
  <si>
    <t>6.2.</t>
  </si>
  <si>
    <t>6.2.1</t>
  </si>
  <si>
    <t>5.3.3.1</t>
  </si>
  <si>
    <t>2.4.1.3</t>
  </si>
  <si>
    <t>Приобретение и доставка двигателя для СВП "Нептун-23"</t>
  </si>
  <si>
    <t>5.9.</t>
  </si>
  <si>
    <t>5.8.3</t>
  </si>
  <si>
    <t>Изготовление межевого плана на земельный участок под размещение кладбища в д. Чижа МО "Канинский сельсовет" НАО</t>
  </si>
  <si>
    <t>5.8.4</t>
  </si>
  <si>
    <t>Изготовление межевых планов на 9 земельных участков под объекты жилищно-коммунального хозяйства, находящихся на территории МО "Коткинский сельсовет" НАО</t>
  </si>
  <si>
    <t>1.2.9</t>
  </si>
  <si>
    <t>Ремонт двух печей в квартире № 7 в жилом доме 31 по ул. Советская в с. Нижняя Пеша МО "Пешский сельсовет" НАО</t>
  </si>
  <si>
    <t>4.1.21</t>
  </si>
  <si>
    <t>Ремонтные работы на объекте "Культурно-досуговое учреждение в д. Вижас"</t>
  </si>
  <si>
    <t>2.7.</t>
  </si>
  <si>
    <t>Раздел 7. Строительство улично-дорожной сети</t>
  </si>
  <si>
    <t>2.7.1</t>
  </si>
  <si>
    <t>Строительство улично-дорожной сети микрорайона Факел поселка Искателей</t>
  </si>
  <si>
    <t>1.4.</t>
  </si>
  <si>
    <t>1.4.1</t>
  </si>
  <si>
    <t>Обследование жилых домов в п. Амдерма, расположенных по адресам: ул. Дубровина, д. 11; ул. Ленина, д. 3; ул. Центральная, д. 2; ул. Центральная, д. 3, с целью признания их аварийными и подлежащими сносу или реконструкции</t>
  </si>
  <si>
    <t>6.3.</t>
  </si>
  <si>
    <t>Раздел 3. Приобретение коммунальной (специализированной) техники</t>
  </si>
  <si>
    <t>6.3.1</t>
  </si>
  <si>
    <t>Приобретение и доставка трактора лесохозяйственного с самосвальным кузовом ОТЗ-392</t>
  </si>
  <si>
    <t>1.2.10</t>
  </si>
  <si>
    <t>1.2.11</t>
  </si>
  <si>
    <t>Ремонт кровли жилого дома № 19 в д. Волоковая МО "Пешский сельсовет" НАО</t>
  </si>
  <si>
    <t>Ремонт фундамента жилого дома № 6 по ул. Новая в с. Нижняя Пеша МО "Пешский сельсовет" НАО</t>
  </si>
  <si>
    <t>Замена фонарей уличного освещения в п. Харута МО "Хоседа-Хардский сельсовет" НАО</t>
  </si>
  <si>
    <t>5.1.8</t>
  </si>
  <si>
    <t>Снос дома № 21 по ул. Центральная в с. Тельвиска МО «Тельвисочный сельсовет» НАО</t>
  </si>
  <si>
    <t>1.3.2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</si>
  <si>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</si>
  <si>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</si>
  <si>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</si>
  <si>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</si>
  <si>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</si>
  <si>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</si>
  <si>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</si>
  <si>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</si>
  <si>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Текущий ремонт в жилом доме № 28 по ул. Почтовая в с. Ома МО «Омский сельсовет» НАО</t>
  </si>
  <si>
    <t>Текущий ремонт жилого дома № 12 по ул. Ягодная в с. Несь МО «Канинский сельсовет» НАО</t>
  </si>
  <si>
    <t>Ремонт жилого дома № 37 по ул. Центральная в п. Каратайка МО «Юшарский сельсовет» НАО</t>
  </si>
  <si>
    <t>Ремонт электропроводки в 4-квартирном жилом доме № 30 по ул. Советская в с. Несь, МО «Канинский сельсовет» НАО</t>
  </si>
  <si>
    <t>Текущий ремонт жилого дома № 31 по ул. Советская в с. Нижняя Пеша (ремонт электропроводки в кв. № 2), МО «Пешский сельсовет» НАО</t>
  </si>
  <si>
    <t>Текущий ремонт жилого дома № 30 по ул. Новая в с. Нижняя Пеша (ремонт электропроводки в кв. № 2), МО «Пешский сельсовет» НАО</t>
  </si>
  <si>
    <t>Текущий ремонт жилого дома № 16А по ул. Калинина в с. Нижняя Пеша (ремонт электропроводки в кв. № 1), МО «Пешский сельсовет» НАО</t>
  </si>
  <si>
    <t>Текущий ремонт в жилом доме № 19 в д. Волоковая (ремонт электропроводки), МО «Пешский сельсовет» НАО</t>
  </si>
  <si>
    <t>Текущий ремонт участка дороги «п. Нельмин-Нос – Вертолётная площадка – Площадка размещения отходов в п. Нельмин-Нос» протяженностью 386 м.</t>
  </si>
  <si>
    <t>Приобретение и доставка мобильного здания контейнерного типа с санями-волокушами в д. Чижа МО «Канинский сельсовет» НАО (помещения ожидания воздушных судов)</t>
  </si>
  <si>
    <t>2.5.2</t>
  </si>
  <si>
    <t>2.5.3</t>
  </si>
  <si>
    <t>Обустройство осушительной канавы на взлетно-посадочной полосе в д. Чижа МО «Канинский сельсовет» НАО</t>
  </si>
  <si>
    <t>5</t>
  </si>
  <si>
    <t>Изготовление межевых планов на 4 земельных участка, расположенных на территории МО «Шоинский сельсовет» НАО»</t>
  </si>
  <si>
    <t>Обследование незавершенного строительством объекта «Школа-сад на 80 мест в п. Бугрино МО «Колгуевский сельсовет» НАО</t>
  </si>
  <si>
    <t>Благоустройство дворовой территории по ул. Монтажников, дома 4; 2; 2А; 2Б; 4А; 4Б; 4В; 6В; 6Б; 6А; 6</t>
  </si>
  <si>
    <t>Строительство объекта "Корпус школы в с. Нижняя Пеша"</t>
  </si>
  <si>
    <t>5.8.5</t>
  </si>
  <si>
    <t>5.5.1</t>
  </si>
  <si>
    <t>5.5.2</t>
  </si>
  <si>
    <t>Раздел 9. Разработка программ комплексного развития поселений</t>
  </si>
  <si>
    <t>4.2.2</t>
  </si>
  <si>
    <t>5.9.1</t>
  </si>
  <si>
    <t>5.10.</t>
  </si>
  <si>
    <t>Раздел 10. Иные мероприятия</t>
  </si>
  <si>
    <t xml:space="preserve">Вывоз песка от придомовых территорий по ул. Набережная, д. № 1, д. № 4, ул. Восточная, д. № 2, ул. Заполярная, д. № 4 в п. Шойна МО "Шоинский сельсовет" НАО </t>
  </si>
  <si>
    <t>1.5.</t>
  </si>
  <si>
    <t>1.5.1</t>
  </si>
  <si>
    <t>1.5.2</t>
  </si>
  <si>
    <t>Ремонт общежития по ул. Школьная, д. 1 в д. Андег МО "Андегский сельсовет" НАО</t>
  </si>
  <si>
    <t>УЖКХиС Администрации Заполярного района, Администрация Заполярного района</t>
  </si>
  <si>
    <t>3.2.4</t>
  </si>
  <si>
    <t>Проведение ремонтно-восстановительных работ на станции очистки воды (БВПУ) в д. Лабожское</t>
  </si>
  <si>
    <t>6.3.2</t>
  </si>
  <si>
    <t>6.2.2</t>
  </si>
  <si>
    <t>5.11.</t>
  </si>
  <si>
    <t>5.11.1</t>
  </si>
  <si>
    <t>Обследование объекта "Ферма на 50 голов в с. Ома"</t>
  </si>
  <si>
    <t>Приобретение и доставка мобильного здания контейнерного типа в с. Шойна МО Шоинский сельсовет» НАО (помещения ожидания воздушных судов)</t>
  </si>
  <si>
    <t>1.6.</t>
  </si>
  <si>
    <t>Установка общедомовых приборов учета электроэнергии в многоквартирных жилых домах в с. Шойна по адресу: ул. Набережная, д. 6 и д. 10</t>
  </si>
  <si>
    <t>1.6.1.</t>
  </si>
  <si>
    <t>Ремонт выгребной ямы в жилом доме 87 в с. Великовисочное МО «Великовисочный сельсовет» НАО</t>
  </si>
  <si>
    <t>Приобретение и доставка двух мобильных зданий контейнерного типа в п. Усть-Кара МО «Карский сельсовет» НАО (помещения ожидания воздушных судов)</t>
  </si>
  <si>
    <t>5.8.6</t>
  </si>
  <si>
    <t xml:space="preserve">Проведение кадастровых работ по формированию земельных участков </t>
  </si>
  <si>
    <t>Раздел 8. Проведение кадастровых работ, оформление правоустанавливающих документов на земельные участки под объектами инфраструктуры</t>
  </si>
  <si>
    <t>Ремонт моста через протоку озера «Захребетное» в п. Красное МО «Приморско-Куйский сельсовет» НАО</t>
  </si>
  <si>
    <t>5.3.3.2</t>
  </si>
  <si>
    <t>Раздел 5. Разработка проектной документации,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</si>
  <si>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Приобретение, доставка и установка двух мобильных зданий контейнерного типа в с. Нижняя Пеша (помещения ожидания воздушных судов)</t>
  </si>
  <si>
    <t>Поставка котла отопительного в котельную "Орбита" в с. Тельвиска</t>
  </si>
  <si>
    <t>Приобретение жидкотопливных котлов (58 шт.) для обеспечения теплоснабжением социальных объектов в д. Каменка, п. Хонгурей, п. Шойна, п. Индига, п. Выучейский, п. Верхняя Пёша.</t>
  </si>
  <si>
    <t>1.1.9</t>
  </si>
  <si>
    <t>2020 год</t>
  </si>
  <si>
    <t>2021 год</t>
  </si>
  <si>
    <t>2022 год</t>
  </si>
  <si>
    <t>1.1.10</t>
  </si>
  <si>
    <t>1.1.11</t>
  </si>
  <si>
    <t>1.5.3</t>
  </si>
  <si>
    <t>1.5.4</t>
  </si>
  <si>
    <t>1.5.5</t>
  </si>
  <si>
    <t>1.6.2</t>
  </si>
  <si>
    <t>1.6.3</t>
  </si>
  <si>
    <t>Замена индивидуальных приборов учёта энергоресурсов в многоквартирных домах п. Амдерма</t>
  </si>
  <si>
    <t>Подпрограмма 2 "Развитие транспортной инфраструктуры муниципального района "Заполярный район"</t>
  </si>
  <si>
    <t>3.2.5</t>
  </si>
  <si>
    <t>3.2.6</t>
  </si>
  <si>
    <t>Поставка и монтаж водоподготовительной установки в п. Каратайка МО "Юшарский сельсовет" НАО</t>
  </si>
  <si>
    <t>Монтаж и обвязка станции очистки воды в п. Усть-Кара МО "Карский сельсовет" НАО.</t>
  </si>
  <si>
    <t>Проведение ремонтно-восстановительных работ на станции очистки воды в с. Коткино МО "Коткинский сельсовет" НАО</t>
  </si>
  <si>
    <t>4.2.6</t>
  </si>
  <si>
    <t>4.2.7</t>
  </si>
  <si>
    <t>5.3.2.18</t>
  </si>
  <si>
    <t>5.10.2</t>
  </si>
  <si>
    <t>Приобретение и доставка лодочного мотора в МО "Великовисочный сельсовет" НАО</t>
  </si>
  <si>
    <t>6.2.3</t>
  </si>
  <si>
    <t xml:space="preserve">Подпрограмма 6 "Развитие коммунальной инфраструктуры муниципального района "Заполярный район" </t>
  </si>
  <si>
    <t xml:space="preserve">Подпрограмма 5 "Развитие социальной инфраструктуры и создание комфортных условий проживания на территории муниципального района "Заполярный район" </t>
  </si>
  <si>
    <t>Ремонт системы отопления в квартире № 2 в жилом доме 2 по ул. Ягодная в с. Несь МО «Канинский сельсовет» НАО</t>
  </si>
  <si>
    <t>Проведение ремонтно-восстановительных работ на станции очистки воды (БВПУ) в п. Индига</t>
  </si>
  <si>
    <t>Приобретение аккумуляторов для обеспечения бесперебойного электроснабжения д. Мгла, д. Волонга, д. Белушье, п. Варнек, д. Устье</t>
  </si>
  <si>
    <t>Поставка инверторов для источников бесперебойного питания д. Мгла, д. Волонга, д. Белушье, п. Варнек, д. Устье</t>
  </si>
  <si>
    <t>Доставка и монтаж резервного источника электроснабжения в д. Тошвиска МО "Великовисочный сельсовет" НАО</t>
  </si>
  <si>
    <t>Поставка емкостей (20 шт.) для хранения дизельного топлива  в с. Ома МО "Омский сельсовет" НАО</t>
  </si>
  <si>
    <t>5.6.4</t>
  </si>
  <si>
    <t>3.1.2</t>
  </si>
  <si>
    <t>Техническое перевооружение газовой котельной объекта «Строительство очистных сооружений производительностью 2500 м3 в сутки в п. Искателей» с разработкой проектной документации</t>
  </si>
  <si>
    <t>Изготовление межевого плана на земельный участок под размещение кладбища в п. Бугрино МО «Колгуевский сельсовет» НАО</t>
  </si>
  <si>
    <t>Изготовление технических планов на 12 колодцев, находящихся на территории МО «Пешский сельсовет» НАО</t>
  </si>
  <si>
    <t>6.4.</t>
  </si>
  <si>
    <t>6.4.1</t>
  </si>
  <si>
    <t>Приобретение гаража для хранения коммунальной техники в с. Великовисочное</t>
  </si>
  <si>
    <t>Раздел 4. Приобретение объектов недвижимости</t>
  </si>
  <si>
    <t>1.1.4</t>
  </si>
  <si>
    <t>1.1.5</t>
  </si>
  <si>
    <t>1.1.6</t>
  </si>
  <si>
    <t>1.2.20</t>
  </si>
  <si>
    <t>1.2.21</t>
  </si>
  <si>
    <t>3.1.3</t>
  </si>
  <si>
    <t>3.2.1</t>
  </si>
  <si>
    <t>5.8.7</t>
  </si>
  <si>
    <t>5.8.8</t>
  </si>
  <si>
    <t>5.8.9</t>
  </si>
  <si>
    <t>5.8.10</t>
  </si>
  <si>
    <t>4.2.3</t>
  </si>
  <si>
    <t>4.2.4</t>
  </si>
  <si>
    <t>4.2.5</t>
  </si>
  <si>
    <t>4.2.8</t>
  </si>
  <si>
    <t>Ремонт электропроводки в кв. № 5 жилого дома № 19 по ул. Калинина в с. Нижняя Пеша, МО «Пешский сельсовет» НАО</t>
  </si>
  <si>
    <t>6.3.3</t>
  </si>
  <si>
    <t>Приобретение и поставка специализированной техники до г. Архангельск</t>
  </si>
  <si>
    <t>Раздел 3. Подготовка объектов коммунальной инфраструктуры к осенне-зимнему периоду</t>
  </si>
  <si>
    <t>3.3.1</t>
  </si>
  <si>
    <t>3.3.2</t>
  </si>
  <si>
    <t>Установка ГРПБ (газорегуляторный пункт блочный) в с. Тельвиска</t>
  </si>
  <si>
    <t>Приобретение и поставка полуприцепа тракторного вакуумного в п. Шойна</t>
  </si>
  <si>
    <t>Всего на 2017-2022 годы (тыс. руб.)</t>
  </si>
  <si>
    <t>в том числе (тыс. руб.)</t>
  </si>
  <si>
    <t>Выполнение дополнительных работ на объекте «Школа на 100 мест в с. Тельвиска Ненецкого автономного округа» с целью передачи в государственную собственность</t>
  </si>
  <si>
    <t>5.1.9</t>
  </si>
  <si>
    <t>6.5.</t>
  </si>
  <si>
    <t>МО «Городское поселение «Рабочий поселок Искателей»</t>
  </si>
  <si>
    <t>6.5.1</t>
  </si>
  <si>
    <t>Приобретение жилого помещения (квартира) № 1 в многоквартирном доме в п. Индига МО «Тиманский сельсовет» НАО</t>
  </si>
  <si>
    <t>Приобретение жилого помещения (квартира) № 2 в многоквартирном доме в п. Индига МО «Тиманский сельсовет» НАО</t>
  </si>
  <si>
    <t>Приобретение жилого помещения (квартира) № 1 в многоквартирном доме в с. Коткино МО «Коткинский сельсовет» НАО</t>
  </si>
  <si>
    <t>Приобретение жилого помещения (квартира) № 2 многоквартирном доме в с. Коткино МО «Коткинский сельсовет» НАО</t>
  </si>
  <si>
    <t>1.1.12</t>
  </si>
  <si>
    <t>Раздел 5. Организация вывоза стоков из септиков и выгребных ям</t>
  </si>
  <si>
    <t>МП "Комплексное развитие муниципального района "Заполярный район" на 2017-2022 годы"</t>
  </si>
  <si>
    <t>5.8.11</t>
  </si>
  <si>
    <t>Изготовление межевого плана на земельный участок под складирование металлолома в п. Амдерма МО "Поселок Амдерма" НАО</t>
  </si>
  <si>
    <t>1.3.3</t>
  </si>
  <si>
    <t>Снос ветхих жилых домов в п. Красное: № 20 по ул. Тундровая, № 7 по ул. Новая, № 12 по ул. Пионерская (софинансирование в размере 50% стоимости мероприятия)</t>
  </si>
  <si>
    <t>5.10.4</t>
  </si>
  <si>
    <t>1.5.6</t>
  </si>
  <si>
    <t>1.3.4</t>
  </si>
  <si>
    <t>Снос дома № 93 в с. Великовисочное (после пожара)</t>
  </si>
  <si>
    <t>Приобретение 2-комнатной квартиры в с. Коткино МО «Коткинский сельсовет» НАО»</t>
  </si>
  <si>
    <t>1.2.22</t>
  </si>
  <si>
    <t>Ремонт 4-х квартирного жилого дома № 1 в п. Индига, МО «Тиманский сельсовет»</t>
  </si>
  <si>
    <t>1.2.23</t>
  </si>
  <si>
    <t>Ремонт 4-х квартирного жилого дома № 2 в п. Индига, МО «Тиманский сельсовет»</t>
  </si>
  <si>
    <t>1.2.24</t>
  </si>
  <si>
    <t>5.8.12</t>
  </si>
  <si>
    <t>Изготовление межевых планов на земельные участки под места захоронения в МО «Омский сельсовет» НАО»</t>
  </si>
  <si>
    <t>5.2.3.5</t>
  </si>
  <si>
    <t>Текущий ремонт общественной бани в с. Тельвиска</t>
  </si>
  <si>
    <t>5.3.4.</t>
  </si>
  <si>
    <t>5.3.4.1</t>
  </si>
  <si>
    <t>5.3.4.2</t>
  </si>
  <si>
    <t>МО «Великовисочный сельсовет» НАО</t>
  </si>
  <si>
    <t>МО «Пешский сельсовет» НАО</t>
  </si>
  <si>
    <t>5.2.3.6</t>
  </si>
  <si>
    <t>Ремонт общественных бань, находящихся в муниципальной собственности МО «Муниципальный район «Заполярный район»</t>
  </si>
  <si>
    <t>5.11.2</t>
  </si>
  <si>
    <t>Корректировка проектной документации объекта "Ферма на 50 голов в с. Ома"</t>
  </si>
  <si>
    <t>5.6.5</t>
  </si>
  <si>
    <t>Капитальный ремонт культурно-досугового учреждения в п. Хорей-Вер</t>
  </si>
  <si>
    <t xml:space="preserve">Снос здания по ул. Центральная д. 10 Б в п. Красное (школьные мастерские)  </t>
  </si>
  <si>
    <t>МО «Приморско-Куйский сельсовет» НАО</t>
  </si>
  <si>
    <t>5.12.</t>
  </si>
  <si>
    <t>5.12.1</t>
  </si>
  <si>
    <t>5.10.5</t>
  </si>
  <si>
    <t>Установка универсальной спортивной площадки вблизи школы на 100 мест в с. Тельвиска</t>
  </si>
  <si>
    <t>1.6.4</t>
  </si>
  <si>
    <t>Установка общедомовых приборов учета тепловой энергии в многоквартирных жилых домах в с. Оксино</t>
  </si>
  <si>
    <t>5.3.4.3</t>
  </si>
  <si>
    <t>5.3.4.4</t>
  </si>
  <si>
    <t>5.3.4.5</t>
  </si>
  <si>
    <t>МО «Шоинский сельсовет» НАО</t>
  </si>
  <si>
    <t>МО «Малоземельский сельсовет» НАО</t>
  </si>
  <si>
    <t>МО «Пустозерский сельсовет» НАО</t>
  </si>
  <si>
    <t>1.2.25</t>
  </si>
  <si>
    <t>Ремонт системы отопления дома № 82 в с. Великовисочное МО "Великовисочный сельсовет" НАО</t>
  </si>
  <si>
    <t>5.2.3.7</t>
  </si>
  <si>
    <t>Ремонт помещний бани и наружных инженерных сетей к бане в п. Амдерма</t>
  </si>
  <si>
    <t>1.2.26</t>
  </si>
  <si>
    <t>Работы по восстановлению системы отопления в 12-квартирном жилом доме в п. Харута НАО</t>
  </si>
  <si>
    <t>Подраздел 3. Строительство (приобретение), капитальный и текущий ремонт общественных бань</t>
  </si>
  <si>
    <t>5.10.6</t>
  </si>
  <si>
    <t>Раздел 5. Проектирование, строительство, капитальный и (или) текущий ремонт зданий, сооружений, вертолетных площадок, взлетно-посадочных полос, дорог</t>
  </si>
  <si>
    <t>2.5.4</t>
  </si>
  <si>
    <t>5.13.</t>
  </si>
  <si>
    <t>Ремонтные работы СВП "Леопард"</t>
  </si>
  <si>
    <t>3.3</t>
  </si>
  <si>
    <t>Раздел 11. Обследование и корректировка проектной документации объектов незавершенного строительства</t>
  </si>
  <si>
    <t>Раздел 6. Осуществление работ по гарантийным обязательствам на социальных объектах поселений</t>
  </si>
  <si>
    <t>Культурно-досуговое учреждение в п. Хорей-Вер</t>
  </si>
  <si>
    <t>Раздел 2. Капитальный и текущий ремонт жилых домов, зданий, помещений</t>
  </si>
  <si>
    <t>Подраздел 4. Приобретение, замена и установка светильников уличного освещения в поселениях</t>
  </si>
  <si>
    <t>Ремонт жилого дома № 5А по ул. Полярная в с. Тельвиска                        МО «Тельвисочный сельсовет» НАО</t>
  </si>
  <si>
    <t>1.2.27</t>
  </si>
  <si>
    <t>5.3.4.6</t>
  </si>
  <si>
    <t>Подсыпка проездов с целью предотвращения подтопления паводковыми водами территории вокруг жилых домов в с. Оксино МО «Пустозерский сельсовет» НАО</t>
  </si>
  <si>
    <t>Подраздел 3. Предоставление иных межбюджетных трансфертов муниципальным образованиям на обозначение и содержание снегоходных маршрутов</t>
  </si>
  <si>
    <t>2.4.3</t>
  </si>
  <si>
    <t>2.4.3.1</t>
  </si>
  <si>
    <t>2.4.3.2</t>
  </si>
  <si>
    <t>2.4.3.3</t>
  </si>
  <si>
    <t>2.4.3.4</t>
  </si>
  <si>
    <t>2.4.3.5</t>
  </si>
  <si>
    <t>2.4.3.6</t>
  </si>
  <si>
    <t>2.4.3.7</t>
  </si>
  <si>
    <t>2.4.3.8</t>
  </si>
  <si>
    <t>2.4.3.9</t>
  </si>
  <si>
    <t>2.4.3.10</t>
  </si>
  <si>
    <t>2.4.3.11</t>
  </si>
  <si>
    <t>2.4.3.12</t>
  </si>
  <si>
    <t>2.4.2.4</t>
  </si>
  <si>
    <t>2.4.2.5</t>
  </si>
  <si>
    <t>5.10.1</t>
  </si>
  <si>
    <t>5.10.3</t>
  </si>
  <si>
    <t>5.10.7</t>
  </si>
  <si>
    <t>Приобретение, доставка и установка модульного здания на базе двух мобильных зданий (блоков) в д. Снопа                 МО «Омский сельсовет» НАО (помещения ожидания воздушных судов)</t>
  </si>
  <si>
    <t>2.4.2.6</t>
  </si>
  <si>
    <t xml:space="preserve">Проведение капитального ремонта на участке  высоковольтной и низковольтной ЛЭП в п. Красное «Объект А» </t>
  </si>
  <si>
    <t>Оформление актов обследования для снятия с кадастрового учета объектов муниципального жилищного фонда и здания школьных мастерских в п. Красное</t>
  </si>
  <si>
    <t>5.10.8</t>
  </si>
  <si>
    <t>Внесение изменений в проект межевания территории  и постановки на кадастровый учет земельного участка под объектом «Строительство очистных сооружений производительностью 2500 куб. м. в сутки в п. Искателей»</t>
  </si>
  <si>
    <t>Разработка документации  по внесению изменений в проект планировки территории в части изменения схемы размещения инженерных сетей и сооружений поселка Искателей</t>
  </si>
  <si>
    <t>5.2.3.8</t>
  </si>
  <si>
    <t>Капитальный ремонт водозабора по ул. Школьная д. 1 и двух колодцев по ул. Советская д. 26 и ул. Заречная д. 9 в с. Несь</t>
  </si>
  <si>
    <t>Обследование моста ТММ-60 в п. Красное</t>
  </si>
  <si>
    <t>Подраздел 3. Ремонт и обследование мостов, пешеходных переходов и путепроводов</t>
  </si>
  <si>
    <t>МО «Колгуевский сельсовет» НАО</t>
  </si>
  <si>
    <t>МО «Поселок Амдерма» НАО</t>
  </si>
  <si>
    <t>5.3.4.7</t>
  </si>
  <si>
    <t>5.3.4.8</t>
  </si>
  <si>
    <t>Капитальный ремонт жилого дома № 28 по ул. Морская в п. Индига МО «Тиманский сельсовет» НАО»</t>
  </si>
  <si>
    <t>Капитальный ремонт жилого дома № 3 А по ул. Антоновка в п. Бугрино МО «Колгуевский сельсовет» НАО</t>
  </si>
  <si>
    <t>Ремонт жилого дома № 4 по ул. Набережная в д. Андег МО «Андегский сельсовет»</t>
  </si>
  <si>
    <t>Ремонт жилого дома № 5 по ул. Набережная в д. Андег МО «Андегский сельсовет»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</si>
  <si>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</si>
  <si>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Текущий ремонт общественной бани в п. Красное</t>
  </si>
  <si>
    <t>Увеличение площади муниципального жилищного фонда, предоставляемого гражданам по договорам социального найма</t>
  </si>
  <si>
    <t>общая площадь построенных (приобретенных) жилых помещений</t>
  </si>
  <si>
    <t>количество семей, улучшивших жилищные условия</t>
  </si>
  <si>
    <t>Проведение текущего и (или) капитального ремонта в жилых домах муниципального жилищного фонда</t>
  </si>
  <si>
    <t>количество жилых домов, в которых проведен текущий и (или) капитальный ремонт</t>
  </si>
  <si>
    <t>Снос жилых домов, признанных непригодными для проживания и/или с высоким уровнем износа</t>
  </si>
  <si>
    <t>общая площадь ликвидированного жилищного фонда, признанного непригодным для проживания и/или с высоким уровнем износа</t>
  </si>
  <si>
    <t>штук</t>
  </si>
  <si>
    <t>Содержание мест причаливания речного транспорта в поселениях Заполярного района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</si>
  <si>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</si>
  <si>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Приобретение запчастей и комплектующих для транспортных средств</t>
  </si>
  <si>
    <t>доля транспортных средств на воздушной подушке в технически исправном состоянии</t>
  </si>
  <si>
    <t>%</t>
  </si>
  <si>
    <t>Разработка проектов организации дорожного движения на автомобильных дорогах общего пользования местного значения</t>
  </si>
  <si>
    <t>доля муниципальных образований, по которым разработаны проекты организации дорожного движения</t>
  </si>
  <si>
    <t>объемы ввода в эксплуатацию после строительства и реконструкции автомобильных дорог общего пользования местного значения</t>
  </si>
  <si>
    <t>количество отобранных проб воды</t>
  </si>
  <si>
    <t>Приобретение оборудования для очистки сточных вод</t>
  </si>
  <si>
    <t>количество приобретенного оборудования для очистки сточных вод</t>
  </si>
  <si>
    <t>Строительство очистных сооружений</t>
  </si>
  <si>
    <t>объект</t>
  </si>
  <si>
    <t>количество установленных газорегуляторных пунктов</t>
  </si>
  <si>
    <t>протяженность построенных и реконструированных тепловых сетей</t>
  </si>
  <si>
    <t>количество приобретенных источников бесперебойного питания</t>
  </si>
  <si>
    <t>количество приобретенных инверторов для обеспечения бесперебойного электроснабжения</t>
  </si>
  <si>
    <t>количество приобретенных котлов для обеспечения теплоснабжения</t>
  </si>
  <si>
    <t>мест</t>
  </si>
  <si>
    <t>количество разработанных проектов на строительство объектов образования</t>
  </si>
  <si>
    <t>количество помывок в общественных банях</t>
  </si>
  <si>
    <t>доля населения Заполярного района, охваченного процессом благоустройства территорий</t>
  </si>
  <si>
    <t>кВт•час</t>
  </si>
  <si>
    <t>количество установленных светильников уличного освещения со светодиодными элементами</t>
  </si>
  <si>
    <t>количество отремонтированных объектов образования</t>
  </si>
  <si>
    <t>количество установленных памятников в текущем году</t>
  </si>
  <si>
    <t>Организация работ по межеванию и постановке земельных участков на кадастровый учет</t>
  </si>
  <si>
    <t>количество изготовленных межевых планов</t>
  </si>
  <si>
    <t>Разработка программ комплексного развития поселений для решения вопросов местного значения</t>
  </si>
  <si>
    <t>количество разработанных программ комплексного развития поселений</t>
  </si>
  <si>
    <t>количество обследованных объектов незавершенного строительства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</si>
  <si>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</si>
  <si>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доля населения Заполярного района, обеспеченного местами сбора твердых коммунальных отходов</t>
  </si>
  <si>
    <t>доля муниципальных образований, участвующих в организации деятельности по сбору и транспортированию ТКО</t>
  </si>
  <si>
    <t>количество приобретенных объектов недвижимости</t>
  </si>
  <si>
    <t>доля муниципальных образований, участвующих в организации деятельности по вывозу стоков из септиков и выгребных ям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</si>
  <si>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</si>
  <si>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</si>
  <si>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</si>
  <si>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Подпрограмма 1 «Строительство (приобретение) и проведение мероприятий по капитальному и текущему ремонту жилых помещений муниципального района «Заполярный район»</t>
  </si>
  <si>
    <t xml:space="preserve">тыс. кв. м </t>
  </si>
  <si>
    <t xml:space="preserve">семья </t>
  </si>
  <si>
    <t>единица</t>
  </si>
  <si>
    <t>тыс. кв. м</t>
  </si>
  <si>
    <t>общая площадь обследованных жилых домов с целью признания их аварийными и подлежащими сносу или реконструкции</t>
  </si>
  <si>
    <t>Разработка проектной документации,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</si>
  <si>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</si>
  <si>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Подпрограмма 2 «Развитие транспортной инфраструктуры муниципального района «Заполярный район»</t>
  </si>
  <si>
    <t>Содержание авиаплощадок в поселениях Заполярного района</t>
  </si>
  <si>
    <t>количество взлетно-посадочных полос и вертолетных площадок, содержащихся в надлежащем порядке</t>
  </si>
  <si>
    <t>количество причалов, содержащихся в надлежащем порядке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</si>
  <si>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</si>
  <si>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</si>
  <si>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доля населения, имеющего доступ к снегоходным трассам, расположенным на территории муниципального района «Заполярный район»</t>
  </si>
  <si>
    <t>количество отремонтированных объектов транспортной инфраструктуры</t>
  </si>
  <si>
    <t>кол-во разработанных проектов на строительство объектов транспортной инфраструктуры</t>
  </si>
  <si>
    <t>километр</t>
  </si>
  <si>
    <t>Подпрограмма 3 «Обеспечение населения муниципального района «Заполярный район» чистой водой»</t>
  </si>
  <si>
    <t>Проведение исследований качества воды</t>
  </si>
  <si>
    <t>проб</t>
  </si>
  <si>
    <t xml:space="preserve">удельный вес проб воды, отбор которых произведён из водных объектов (в т. ч. оборудованных водозаборными устройствами, установками), не отвечающих гигиеническим нормативам по санитарно-бактериологическим показателям </t>
  </si>
  <si>
    <t xml:space="preserve">удельный вес проб воды, отбор которых произведён из водных объектов (в т. ч. оборудованных водозаборными устройствами, установками), не отвечающих гигиеническим нормативам по санитарно-гигиеническим показателям </t>
  </si>
  <si>
    <t>количество построенных очистных сооружений</t>
  </si>
  <si>
    <t>Создание условий для обеспечения населения чистой водой</t>
  </si>
  <si>
    <t xml:space="preserve">доля населенных пунктов, обеспеченных питьевой водой надлежащего качества </t>
  </si>
  <si>
    <t>Подпрограмма 4 «Энергоэффективность и развитие энергетики муниципального района «Заполярный район»</t>
  </si>
  <si>
    <t>Энергосбережение и повышение энергетической эффективности</t>
  </si>
  <si>
    <t>количество комплектных трансформаторных подстанций, на которых проведен капитальный и/или текущий ремонт</t>
  </si>
  <si>
    <t>проект</t>
  </si>
  <si>
    <t>количество введенных в эксплуатацию объектов электроэнергетики</t>
  </si>
  <si>
    <t>количество замененных светильников уличного освещения на светильники со светодиодными элементами</t>
  </si>
  <si>
    <t>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</si>
  <si>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Подготовка объектов коммунальной инфраструктуры к осенне-зимнему периоду</t>
  </si>
  <si>
    <t>количество приобретенных емкостей для хранения топлива</t>
  </si>
  <si>
    <t>Подпрограмма 5 «Развитие социальной инфраструктуры и создание комфортных условий проживания на территории муниципального района «Заполярный район»</t>
  </si>
  <si>
    <t>Повышение уровня комплексного обустройства населенных пунктов, расположенных в сельской местности, объектами социальной инфраструктуры</t>
  </si>
  <si>
    <t>ввод в действие объектов образования</t>
  </si>
  <si>
    <t>увеличение количества мест в образовательных учреждениях</t>
  </si>
  <si>
    <t xml:space="preserve">количество объектов образования, по которым было проведено обследование и (или) корректировка проектной документации </t>
  </si>
  <si>
    <t>количество введённых в эксплуатацию спортивных сооружений</t>
  </si>
  <si>
    <t>количество отремонтированных культурно-досуговых учреждений</t>
  </si>
  <si>
    <t>помывка</t>
  </si>
  <si>
    <t>количество построенных (приобретенных) общественных бань</t>
  </si>
  <si>
    <t xml:space="preserve">количество отремонтированных общественных бань </t>
  </si>
  <si>
    <t>Благоустройство и уличное освещение территорий поселений</t>
  </si>
  <si>
    <t>количество потребленной электроэнергии на уличное освещение</t>
  </si>
  <si>
    <t>Обеспечение сохранности объектов культурного наследия (памятников истории и культуры) для создания условий их полноценного и рационального использования</t>
  </si>
  <si>
    <t>количество объектов культурного наследия, в которых проведены работы по текущему (капитальному) ремонту</t>
  </si>
  <si>
    <t xml:space="preserve">Установка и приведение в надлежащее состояние воинских захоронений, памятников и памятных знаков, увековечивающих память погибших при защите Отечества </t>
  </si>
  <si>
    <t>Обследование объектов незавершенного строительства</t>
  </si>
  <si>
    <t>Подпрограмма 6 «Развитие коммунальной инфраструктуры муниципального района «Заполярный район»</t>
  </si>
  <si>
    <t xml:space="preserve">% </t>
  </si>
  <si>
    <t>Участие в организации деятельности по сбору и транспортированию твердых коммунальных отходов</t>
  </si>
  <si>
    <t>Приобретение коммунальной (специализированной) техники</t>
  </si>
  <si>
    <t>Приобретение объектов недвижимости</t>
  </si>
  <si>
    <t>Организация вывоза стоков из септиков и выгребных ям</t>
  </si>
  <si>
    <t>Отбор проб и исследование воды водных объектов на соли тяжёлых металлов, радиологию и пестициды в населённых пунктах: п. Каратайка, с. Несь,                    п. Бугрино, с. Коткино, д. Пылемец, д. Снопа, п. Индига, с. Нижняя Пеша, д. Верхняя Пеша, п. Усть-Кара, с. Ома, п. Выучейский, д. Щелино, д. Волонга, д. Волоковая,                     с. Шойна, д. Кия, д. Макарово, д. Вижас, д. Белушье, д. Мгла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</si>
  <si>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Каратайка, с. Несь, п. Бугрино, с. Коткино, д. Пылемец, д. Снопа, п. Индига, с. Нижняя Пеша, д. Верхняя Пеша, п. Усть-Кара, с. Ома, д. Щелино, д. Волонга, п. Выучейский,                   д. Волоковая, с. Шойна, д. Кия, д. Макарово, д. Вижас, д. Белушье, д. Мгла</t>
  </si>
  <si>
    <t>Раздел 12. Приобретение и доставка транспортных средств ( в том числе комплектующих) для нужд муниципальных образований</t>
  </si>
  <si>
    <t>Раздел 13. Проверка достоверности определения сметной стоимости капитального ремонта объектов капитального строительства</t>
  </si>
  <si>
    <t>5.13.1</t>
  </si>
  <si>
    <t>Приложение 1 к муниципальной программе "Комплексное развитие муниципального района "Заполярный район" на 2017-2022 годы"</t>
  </si>
  <si>
    <t>Перечень целевых показателей муниципальной программы "Комплексное развитие муниципального района "Заполярный район" на 2017-2022 годы"</t>
  </si>
  <si>
    <t>Планируемое значение индикатора (показателя) по годам реализации муниципальной программы</t>
  </si>
  <si>
    <t>Приложение 2 к  муниципальной программе «Комплексное развитие муниципального района «Заполярный район» на 2017-2022 годы»</t>
  </si>
  <si>
    <t>Перечень мероприятий муниципальной программы "Комплексное развитие муниципального района "Заполярный район" на 2017-2022 годы"</t>
  </si>
  <si>
    <t>Источник финансирования</t>
  </si>
  <si>
    <t>Объем финансирования, тыс. рублей</t>
  </si>
  <si>
    <t>в том числе:</t>
  </si>
  <si>
    <t>Всего, в том числе:</t>
  </si>
  <si>
    <t>внебюджетные источники</t>
  </si>
  <si>
    <t>Ресурсное обеспечение реализации муниципальной программы "Комплексное развитие муниципального района "Заполярный район" на 2017-2022 годы"</t>
  </si>
  <si>
    <t>1.2.28</t>
  </si>
  <si>
    <t>1.2.29</t>
  </si>
  <si>
    <t>1.2.30</t>
  </si>
  <si>
    <t>1.2.31</t>
  </si>
  <si>
    <t>5.3.3.3</t>
  </si>
  <si>
    <t>5.8.13</t>
  </si>
  <si>
    <t>5.10.9</t>
  </si>
  <si>
    <t>5.10.10</t>
  </si>
  <si>
    <t>Приложение 3 к  муниципальной программе "Комплексное развитие муниципального района "Заполярный район" на 2017-2022 годы"</t>
  </si>
  <si>
    <t>Подраздел 1. Приобретение, доставка транспортных средств (в том числе запчастей и комплектующих) и ремонт объектов транспортной инфраструктуры</t>
  </si>
  <si>
    <t xml:space="preserve">Раздел 1. Проведение исследования качества воды </t>
  </si>
  <si>
    <t>Устройство детской площадки в п. Амдерма</t>
  </si>
  <si>
    <t>5.2.3.8.1</t>
  </si>
  <si>
    <t>Ремонт общественной бани в п. Каратайка</t>
  </si>
  <si>
    <t>1.6.5</t>
  </si>
  <si>
    <t>Замена индивидуальных приборов учета электрической энергии в жилых помещениях (квартирах) МО «Пешский сельсовет» НАО</t>
  </si>
  <si>
    <t>Выполнение работ по гидравлической промывке, испытаний на плотность и прочность системы отопления потребителей тепловой энергии</t>
  </si>
  <si>
    <t>5.10.11</t>
  </si>
  <si>
    <t>Оформление актов обследования для снятия с кадастрового учета объектов муниципального жилищного фонда в п. Индига</t>
  </si>
  <si>
    <t>5.10.12</t>
  </si>
  <si>
    <t>6.2.4</t>
  </si>
  <si>
    <t>1.2.32</t>
  </si>
  <si>
    <t>Ремонт печи в квартире № 2 в жилом доме № 127 по ул. Рыбацкая в п. Индига, МО «Тиманский сельсовет» НАО</t>
  </si>
  <si>
    <t>1.2.33</t>
  </si>
  <si>
    <t>Ремонт печи в квартире № 2 в жилом доме № 159 по ул. Новая в п. Индига, МО «Тиманский сельсовет» НАО</t>
  </si>
  <si>
    <t>Ремонт системы отопления в жилом доме № 1 по ул. Полярная в с. Тельвиска МО «Тельвисочный сельсовет» НАО</t>
  </si>
  <si>
    <t>1.2.34</t>
  </si>
  <si>
    <t>Раздел 2. Участие в организации деятельности по сбору и транспортированию твердых коммунальных отходов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</si>
  <si>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муниципальных образований, предназначенных под складирование отходов</t>
  </si>
  <si>
    <t>УЖКХиС Администрации Заполярного района, Администрация Заполярного района, МКУ ЗР "Северное"</t>
  </si>
  <si>
    <t>Ремонтные работы на объекте «Корпус школы на 110 мест в с. Нижняя Пеша Ненецкого автономного округа»</t>
  </si>
  <si>
    <t>Вывоз песка от придомовых территорий д. № 1, № 3, № 4, № 5 по ул. Набережная, д. № 4 по ул. Заполярная в с. Шойна МО «Шоинский сельсовет» НАО</t>
  </si>
  <si>
    <t>Базовое значение индикатора в год, предшествующий началу реализации муниципальной программы</t>
  </si>
  <si>
    <t>Приобретение  КТП-10/0,4 кВ (мощностью 100, 160, 250, 400 кВА) для капитального ремонта ЛЭП в с.Коткино</t>
  </si>
  <si>
    <t>Приобретение опор деревянных С2 (199 шт.) для капитального ремонта ЛЭП в с. Коткино</t>
  </si>
  <si>
    <t>5.7.2</t>
  </si>
  <si>
    <t>Проведение ремонта постамента памятника ветеранам Великой Отечественной войны в п. Выучейский МО «Тиманский сельсовет» НАО</t>
  </si>
  <si>
    <t>5.8.14</t>
  </si>
  <si>
    <t>Проведение кадастровых работ по формированию 6-ти земельных участков под жилые дома в МО «Пешский сельсовет» НАО</t>
  </si>
  <si>
    <t>5.8.15</t>
  </si>
  <si>
    <t>Устройство наружной канализации (септика) общественной бани в д. Белушье</t>
  </si>
  <si>
    <t>5.10.13</t>
  </si>
  <si>
    <t>4.2.9</t>
  </si>
  <si>
    <t>Капитальный ремонт ЛЭП в п. Красное (объект B, C, D, E)</t>
  </si>
  <si>
    <t>Приобретение общественной бани в с. Оксино МО "Пустозерский сельсовет" НАО</t>
  </si>
  <si>
    <t>количество домов, оснащенных общедомовыми приборами учета коммунальных ресурсов</t>
  </si>
  <si>
    <t>единиц</t>
  </si>
  <si>
    <t>Приобретение, доставка и установка модульного здания на базе двух блок-контейнеров в п. Усть-Кара МО «Карский сельсовет» НАО (помещения ожидания воздушных судов) с подключением к электросетям</t>
  </si>
  <si>
    <t>2.8.</t>
  </si>
  <si>
    <t>Раздел 8. Муниципальная поддержка пассажирских перевозок общественным автомобильным транспортом</t>
  </si>
  <si>
    <t>2.8.1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</si>
  <si>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</si>
  <si>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 xml:space="preserve"> Администрация Заполярного района</t>
  </si>
  <si>
    <t>5.3.4.9</t>
  </si>
  <si>
    <t>человек</t>
  </si>
  <si>
    <t>количество перевезенных пассажиров автомобильным транспортом в муниципальном сообщении</t>
  </si>
  <si>
    <t>Обеспечение потребности в перевозках пассажиров на социально значимых маршрутах</t>
  </si>
  <si>
    <t>количество приобретенных комплектных трансформаторных подстанций</t>
  </si>
  <si>
    <t>количество приобретенных деревянных опор для линии электропередач</t>
  </si>
  <si>
    <t>количество отремонтированных памятников в текущем году</t>
  </si>
  <si>
    <t>1.7.</t>
  </si>
  <si>
    <t>Раздел 7. Подготовка земельных участков под жилищное строительство</t>
  </si>
  <si>
    <t>1.7.1.</t>
  </si>
  <si>
    <t>Подготовка земельного участка под строительство 4-х квартирного жилого дома в п. Усть-Кара</t>
  </si>
  <si>
    <t>6.6.</t>
  </si>
  <si>
    <t>6.6.1</t>
  </si>
  <si>
    <t>Раздел 6. Иные мероприятия</t>
  </si>
  <si>
    <t>3.2.7</t>
  </si>
  <si>
    <t>Поставка и монтаж станции очистки сточных вод в п. Амдерма</t>
  </si>
  <si>
    <t>2.5.5</t>
  </si>
  <si>
    <t>2.5.6</t>
  </si>
  <si>
    <t>Приобретение и монтаж светосигнального оборудования вертолетной площадки в с. Несь</t>
  </si>
  <si>
    <t>Текущий ремонт вертолетной площадки в с. Несь</t>
  </si>
  <si>
    <t>6.1.18</t>
  </si>
  <si>
    <t>2.5.7</t>
  </si>
  <si>
    <t>Ремонт участка автомобильной дороги общего пользования местного значения «с.Оксино-причал» (участок от дома № 1 до дома № 6)</t>
  </si>
  <si>
    <t>Ремонт участка автомобильной дороги общего пользования местного значения «с.Оксино-причал» (участок от дома № 4 до дома № 120)</t>
  </si>
  <si>
    <t>2.4.1.4</t>
  </si>
  <si>
    <t>Приобретение и доставка пассажирского катера</t>
  </si>
  <si>
    <t>3.2.8</t>
  </si>
  <si>
    <t>Поставка и монтаж локальных очистных сооружений в п. Индига</t>
  </si>
  <si>
    <t>Капитальный ремонт жилого дома № 159 по ул. Новая в п. Индига МО "Тиманский сельсовет" НАО</t>
  </si>
  <si>
    <t>2.7.2</t>
  </si>
  <si>
    <t>Строительство моста через р. Кутина в с. Несь Ненецкого автономного округа</t>
  </si>
  <si>
    <t>5.10.14</t>
  </si>
  <si>
    <t>Снос спортивной площадки в с. Тельвиска МО «Тельвисочный сельсовет» НАО»</t>
  </si>
  <si>
    <t>5.7.3</t>
  </si>
  <si>
    <t>Благоустройство обелиска памяти воинов, павших в Великой Отечественной войне 1941-1945 гг. в с. Шойна МО «Шоинский сельсовет» НАО</t>
  </si>
  <si>
    <t>Подраздел 2.Приобретение и доставка объектов, оборудования транспортной инфраструктуры</t>
  </si>
  <si>
    <t>2.4.2.7</t>
  </si>
  <si>
    <t>Приобретение и доставка авиационной стремянки в п. Индига</t>
  </si>
  <si>
    <t>1.2.35</t>
  </si>
  <si>
    <t>Текущий ремонт жилого помещения № 2 дома № 17 по ул. Центральная в п. Красное МО «Приморско-Куйский сельсовет» НАО</t>
  </si>
  <si>
    <t>Устройство водозаборной скважины в с. Тельвиска 
МО «Тельвисочный сельсовет» НАО</t>
  </si>
  <si>
    <t>Ремонт ЛЭП в с. Шойна Мо «Шоинский сельсовет» НАО</t>
  </si>
  <si>
    <t>4.1.22</t>
  </si>
  <si>
    <t>Изготовление межевого плана на земельный участок под памятник участникам ВОВ в п. Индига</t>
  </si>
  <si>
    <t>5.8.16</t>
  </si>
  <si>
    <t>5.8.17</t>
  </si>
  <si>
    <t>Проведение кадастровых работ по формированию 13-ти земельных участков под жилые дома в МО «Поселок Амдерма» НАО</t>
  </si>
  <si>
    <t>5.8.18</t>
  </si>
  <si>
    <t>5.8.19</t>
  </si>
  <si>
    <t>5.8.20</t>
  </si>
  <si>
    <t>5.8.21</t>
  </si>
  <si>
    <t>5.8.22</t>
  </si>
  <si>
    <t>5.8.23</t>
  </si>
  <si>
    <t>Проведение кадастровых работ по формированию 3-х земельных участков под жилые дома в МО «Омский сельсовет» НАО</t>
  </si>
  <si>
    <t>Проведение кадастровых работ по формированию 5-ти земельных участков под жилые дома в МО «Хоседа-Хардский мсельсовет» НАО</t>
  </si>
  <si>
    <t>Проведение кадастровых работ по формированию 2-х земельных участков под жилые дома в МО «Тельвисочный сельсовет» НАО</t>
  </si>
  <si>
    <t>Проведение кадастровых работ по формированию 1-го земельных участков под жилые дома в МО «Коткинский сельсовет» НАО</t>
  </si>
  <si>
    <t>Приобретение гаража для хранения коммунальной техники в п. Харута</t>
  </si>
  <si>
    <t>6.4.2</t>
  </si>
  <si>
    <t>Изготовление технических планов на 5 общественных кладбищ, находящихся на территории МО «Великовисочный сельсовет» НАО</t>
  </si>
  <si>
    <t>Строительство и реконструкция автомобильных дорог</t>
  </si>
  <si>
    <t>Изготовление технических планов на 3 колодца, находящихся на территории МО «Шоинский сельсовет» НАО</t>
  </si>
  <si>
    <t>Проектирование, строительство, капитальный и (или) текущий ремонт зданий, сооружений, вертолетных площадок, взлетно-посадочных полос, дорог</t>
  </si>
  <si>
    <t>Предоставление бытовых услуг населению Заполярного района</t>
  </si>
  <si>
    <t>протяженность реконструированных и отремонтированных линий электропередач</t>
  </si>
  <si>
    <t>количество приобретенной коммунальной техники</t>
  </si>
  <si>
    <t>Поставка, монтаж и пуско-наладочные работы водоподготовительной установки д. Чижа МО «Канинский сельсовет» НАО</t>
  </si>
  <si>
    <t>4.2.11</t>
  </si>
  <si>
    <t>1.7.2.</t>
  </si>
  <si>
    <t>1.3.5</t>
  </si>
  <si>
    <t>Снос ветхого жилого дома № 3 по ул. Новая в с. Нижняя Пеша</t>
  </si>
  <si>
    <t xml:space="preserve">Разработка проектной документации на установку общедомовых приборов учёта тепловой энергии в многоквартирных домах в с. Великовисочное (МКД № 20, 31, 32, 82, 87, 87А) </t>
  </si>
  <si>
    <t>1.6.6</t>
  </si>
  <si>
    <t>Приобретение 1-комнатной квартиры в п. Индига МО «Тиманский сельсовет» НАО</t>
  </si>
  <si>
    <t>2.4.2.8</t>
  </si>
  <si>
    <t>Приобретение и доставка мобильного здания (помещения ожидания воздушных судов) в п. Бугрино МО «Колгуевский сельсовет» НАО</t>
  </si>
  <si>
    <t xml:space="preserve">Поставка, монтаж, наладка и запуск в работу водоочистительного оборудования, накопительных емкостей 
в количестве двух комплектов в п. Красное
</t>
  </si>
  <si>
    <t>3.2.9</t>
  </si>
  <si>
    <t>5.10.15</t>
  </si>
  <si>
    <t>Приобретение и поставка запасных частей для ремонта двигателя автоцистерны на шасси Урал 4320 в п. Индига МО «Тиманский сельсовет» НАО</t>
  </si>
  <si>
    <t>5.3.4.10</t>
  </si>
  <si>
    <t>5.10.16</t>
  </si>
  <si>
    <t>Приобретение и доставка детской площадки в с. Шойна МО «Шоинский сельсовет» НАО</t>
  </si>
  <si>
    <t xml:space="preserve">Капитальный ремонт моста через ручей «Лахтенный» в с. Несь НАО </t>
  </si>
  <si>
    <t>5.10.17</t>
  </si>
  <si>
    <t>Подсыпка земельного участка с целью предотвращения подтопления паводковыми водами территории вокруг жилого дома в с. Оксино</t>
  </si>
  <si>
    <t>1.2.37</t>
  </si>
  <si>
    <t>2.4.1.5</t>
  </si>
  <si>
    <t>Приобретение и доставка лодочного мотора для МП ЗР «СТК»</t>
  </si>
  <si>
    <t>Устройство основной и резервной скважин в п. Выучейский МО "Тиманский сельсовет" НАО</t>
  </si>
  <si>
    <t>Раздел 4. Строительство, приобретение и монтаж объектов водоотведения</t>
  </si>
  <si>
    <t>3.4.</t>
  </si>
  <si>
    <t>3.4.1</t>
  </si>
  <si>
    <t>3.4.2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</si>
  <si>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</si>
  <si>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</si>
  <si>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</si>
  <si>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</si>
  <si>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</si>
  <si>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</si>
  <si>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</si>
  <si>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</si>
  <si>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</si>
  <si>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Раздел 6. Содержание имущества, находящегося в муниципальной собственности поселений, разработка проектно-сметной документации на реализацию мероприятий по содержанию имущества</t>
  </si>
  <si>
    <t>количество разработанной проектной документации по содержанию имущества</t>
  </si>
  <si>
    <t>3.1.4</t>
  </si>
  <si>
    <t>3.1.5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</si>
  <si>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Макарово, д. Белушье, д. Волонга, д. Волоковая, д. Верхняя Пёша, д. Мгла, д. Чижа, с. Шойна, д. Снопа, д. Вижас д. Щелино, д. Пылемец, п. Выучейский, д. Осколково, д. Кия</t>
  </si>
  <si>
    <t>Отбор проб и исследование воды водных объектов на соли тяжёлых металлов, радиологию в населённых пунктах: д. Макарово, д. Белушье, д. Волонга, д. Волоковая, д. Верхняя Пёша, д. Мгла, д. Чижа, с. Шойна, д. Снопа, д. Вижас д. Щелино, д. Пылемец, п. Выучейский, д. Осколково, д. Кия</t>
  </si>
  <si>
    <t>Поставка, монтаж и пуско-наладочные работы водоподготовительной установки д.Снопа
МО "Омский сельсовет" НАО</t>
  </si>
  <si>
    <t>количество обустроенных объектов транспортной инфраструктуры</t>
  </si>
  <si>
    <t>Содержание имущества, находящегося в муниципальной собственности поселений</t>
  </si>
  <si>
    <t>Подготовка земельного участка под устройство детской площадки в п. Амдерма</t>
  </si>
  <si>
    <t>Ликвидация несанкционированного места размещения ЖБО в п. Красное</t>
  </si>
  <si>
    <t>4.2.12</t>
  </si>
  <si>
    <t>5.3.3.4</t>
  </si>
  <si>
    <t>3.3.3</t>
  </si>
  <si>
    <t>Наименование муниципальной программы (подпрограммы)</t>
  </si>
  <si>
    <t>Капитальный ремонт жилого дома № 2В по ул. Оленная в п. Бугрино МО "Колгуевский сельсовет" НАО</t>
  </si>
  <si>
    <t>Текущий ремонт квартир № 3, 6, 7, 10 жилого дома № 5А по ул. Полярная в с. Тельвиска  МО "Тельвисочный сельсовет" НАО</t>
  </si>
  <si>
    <t>Капитальный ремонт жилого дома № 22 по ул. Пустозерская в с. Тельвиска  МО "Тельвисочный сельсовет" НАО</t>
  </si>
  <si>
    <t>Капитальный ремонт жилого дома № 19 по ул. Профсоюзная в с. Несь МО "Канинский сельсовет" НАО</t>
  </si>
  <si>
    <t>Ремонт квартиры № 2 в жилом доме № 11 по ул. Ягодная в с. Несь МО "Канинский сельсовет" НАО</t>
  </si>
  <si>
    <t>Капитальный ремонт жилого дома № 4 по ул. Ягодная в с. Несь МО "Канинский сельсовет" НАО</t>
  </si>
  <si>
    <t>Ремонт цокольного перекрытия в жилом доме № 165 по ул. Новая в п. Индига МО "Тиманский сельсовет" НАО</t>
  </si>
  <si>
    <t>Ремонт цокольного перекрытия в жилом доме № 166 по ул. Новая в п. Индига МО "Тиманский сельсовет" НАО</t>
  </si>
  <si>
    <t>Капитальный ремонт крыши жилого дома № 17 по ул. Набережная в д. Андег МО "Андегский сельсовет" НАО</t>
  </si>
  <si>
    <t>1.2.38</t>
  </si>
  <si>
    <t>1.2.39</t>
  </si>
  <si>
    <t>1.2.40</t>
  </si>
  <si>
    <t>1.2.41</t>
  </si>
  <si>
    <t>1.2.42</t>
  </si>
  <si>
    <t>1.2.43</t>
  </si>
  <si>
    <t>1.2.44</t>
  </si>
  <si>
    <t>1.2.45</t>
  </si>
  <si>
    <t>1.2.46</t>
  </si>
  <si>
    <t>1.2.47</t>
  </si>
  <si>
    <t>1.3.6</t>
  </si>
  <si>
    <t>Снос жилого дома № 32 по ул. Центральная в с. Коткино МО "Коткинский сельсовет" НАО</t>
  </si>
  <si>
    <t>1.6.7</t>
  </si>
  <si>
    <t>Выполнение работ по установке общедомовых приборов учёта тепловой энергии в многоквартирных домах в с. Великовисочное (МКД № 32, 87А)</t>
  </si>
  <si>
    <t>2.4.2.9</t>
  </si>
  <si>
    <t>Приобретение и доставка авиационной стремянки в с. Несь МО «Канинский сельсовет» НАО</t>
  </si>
  <si>
    <t>Устройство водозаборной скважины, приобретение дополнительного оборудования, расходных материалов, запасных частей и электронасосов для БВПУ МО «Великовисочный сельсовет» НАО</t>
  </si>
  <si>
    <t>6.7.</t>
  </si>
  <si>
    <t>-</t>
  </si>
  <si>
    <t>Капитальный ремонт инженерной системы теплоснабжения жилого дома № 33, квартал Явтысого в п. Нельмин-Нос МО "Малоземельский сельсовет" НАО</t>
  </si>
  <si>
    <t>Капитальный ремонт жилого дома № 9 по ул. Победы в п. Нельмин-Нос  МО "Малоземельский сельсовет" НАО</t>
  </si>
  <si>
    <t>количество обследованных жилых домов с целью проведения ремонта</t>
  </si>
  <si>
    <t xml:space="preserve">Обследование жилых домов </t>
  </si>
  <si>
    <t>1.4.2</t>
  </si>
  <si>
    <t>Раздел 4. Обследование жилых домов</t>
  </si>
  <si>
    <r>
      <t>количество приобретенных</t>
    </r>
    <r>
      <rPr>
        <sz val="11"/>
        <rFont val="Times New Roman"/>
        <family val="1"/>
        <charset val="204"/>
      </rPr>
      <t xml:space="preserve">  </t>
    </r>
    <r>
      <rPr>
        <sz val="11"/>
        <color rgb="FF000000"/>
        <rFont val="Times New Roman"/>
        <family val="1"/>
        <charset val="204"/>
      </rPr>
      <t>объектов транспортной инфраструктуры</t>
    </r>
  </si>
  <si>
    <t>6.6.2</t>
  </si>
  <si>
    <t>Софинансирование мероприятий по ликвидации несанкционированного места размещения отходов</t>
  </si>
  <si>
    <t>МО «Тельвисочный сельсовет» НАО</t>
  </si>
  <si>
    <t>6.6.2.1</t>
  </si>
  <si>
    <t>6.6.2.2</t>
  </si>
  <si>
    <t>6.6.2.3</t>
  </si>
  <si>
    <t>Раздел 7. 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</si>
  <si>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6.7.2</t>
  </si>
  <si>
    <t>6.7.1</t>
  </si>
  <si>
    <t>6.7.3</t>
  </si>
  <si>
    <t>МО «Канинский сельсовет» НАО</t>
  </si>
  <si>
    <t>1.3.7</t>
  </si>
  <si>
    <t>Снос дома № 1 по ул. Школьная в с. Шойна МО «Шоинский сельсовет» НАО</t>
  </si>
  <si>
    <t>Снос дома № 13 по ул. Колхозная в с. Коткино МО «Коткинский сельсовет» НАО</t>
  </si>
  <si>
    <t>1.3.8</t>
  </si>
  <si>
    <t>Ремонт системы отопления муниципальных квартир № 1, № 3, № 5, № 7, № 8, № 10, № 11 жилого дома № 2 по ул. Совхозная в с. Тельвиска МО «Тельвисочный сельсовет» НАО</t>
  </si>
  <si>
    <t>1.2.48</t>
  </si>
  <si>
    <t>Приобретение 1-комнатной квартиры в п. Красное МО "Приморско-Куйский сельсовет" НАО</t>
  </si>
  <si>
    <t>Ремонт квартиры № 1 в жилом доме № 14 по ул. Лесная в д. Андег МО «Андегский сельсовет» НАО</t>
  </si>
  <si>
    <t>1.2.49</t>
  </si>
  <si>
    <t>1.2.50</t>
  </si>
  <si>
    <t>Капитальный ремонт жилого дома № 30Б по ул. Пустозерская в с. Тельвиска МО «Тельвисочный сельсовет» НАО</t>
  </si>
  <si>
    <t>количество разработанных проектов по сносу домов</t>
  </si>
  <si>
    <t>1.3.9</t>
  </si>
  <si>
    <r>
      <t xml:space="preserve">Разработка проектов организации работ по сносу домов </t>
    </r>
    <r>
      <rPr>
        <sz val="13"/>
        <color theme="1"/>
        <rFont val="Times New Roman"/>
        <family val="1"/>
        <charset val="204"/>
      </rPr>
      <t>в МО «Тельвисочный сельсовет» НАО</t>
    </r>
  </si>
  <si>
    <t>1.3.10</t>
  </si>
  <si>
    <t>1.3.11</t>
  </si>
  <si>
    <t>Снос ветхого жилого дома № 92 по ул. Центральная в п. Индига (софинансирование в размере 3% стоимости мероприятия)</t>
  </si>
  <si>
    <t>Разработка проекта организации работ по сносу дома № 92 по ул. Центральная в п. Индига</t>
  </si>
  <si>
    <t>1.2.51</t>
  </si>
  <si>
    <t>Капитальный ремонт жилого дома № 31А по ул. Набережная в п. Бугрино МО «Колгуевский сельсовет» НАО</t>
  </si>
  <si>
    <t>Приобретение жилых помещений в д. Чижа МО «Канинский сельсовет» Ненецкого автономного округа</t>
  </si>
  <si>
    <t>1.2.52</t>
  </si>
  <si>
    <t>2.4.4</t>
  </si>
  <si>
    <t>Подраздел 4. Иные мероприятия</t>
  </si>
  <si>
    <t>Проведение русловой изыскательской съемки Макаровской курьи от устья р. Печора до д. Макарово</t>
  </si>
  <si>
    <t>2.4.4.1</t>
  </si>
  <si>
    <t>Поставка, монтаж, наладка и запуск в работу водоочистительного оборудования, устройство канализационного колодца в с. Тельвиска</t>
  </si>
  <si>
    <t>Создание условий для предоставления услуг водным транспортом</t>
  </si>
  <si>
    <t>количество проведенных изыскательских работ с целью введения нового судового хода</t>
  </si>
  <si>
    <t>количество разработанных проектов на реконструкцию объектов теплоэнергетики и водоснабжения</t>
  </si>
  <si>
    <t>5.10.18</t>
  </si>
  <si>
    <t>Снос ветхого нежилого сооружения по ул. Восточная, д.10 в с. Шойна МО «Шоинский сельсовет» НАО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</si>
  <si>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</si>
  <si>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>5.10.19</t>
  </si>
  <si>
    <t>5.3.3.5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</si>
  <si>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</si>
  <si>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</si>
  <si>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количество созданных площадок накопления твердых коммунальных отходов</t>
  </si>
  <si>
    <t>количество разработанных проектов на ремонт инженерных сооружений</t>
  </si>
  <si>
    <t>Приобретение запасных частей, расходных материалов к специализированной технике и оборудованию</t>
  </si>
  <si>
    <t>количество приобретаемых запасных частей, расходных материалов, аксессуаров к автомобилям, специализированной технике и оборудованию</t>
  </si>
  <si>
    <t>Разработка проектной документации на проведение капитального ремонта моста ТММ-60 в п. Красное</t>
  </si>
  <si>
    <t>количество приобретенного оборудования транспортной инфраструктуры</t>
  </si>
  <si>
    <r>
      <t xml:space="preserve">Приобретение </t>
    </r>
    <r>
      <rPr>
        <sz val="11"/>
        <rFont val="Times New Roman"/>
        <family val="1"/>
        <charset val="204"/>
      </rPr>
      <t xml:space="preserve">и ремонт </t>
    </r>
    <r>
      <rPr>
        <sz val="11"/>
        <color rgb="FF000000"/>
        <rFont val="Times New Roman"/>
        <family val="1"/>
        <charset val="204"/>
      </rPr>
      <t>объектов, оборудования транспортной инфраструктуры</t>
    </r>
  </si>
  <si>
    <t>количество отремонтированных инженерных сооружений общего пользования местного значения</t>
  </si>
  <si>
    <t>площадь участков, освободившихся в результате сноса зданий, сооружений и иных объектов</t>
  </si>
  <si>
    <t>кв.м.</t>
  </si>
  <si>
    <t>количество поставленных детских площадок</t>
  </si>
  <si>
    <t xml:space="preserve">объем вывезенного песка от придомовых территорий </t>
  </si>
  <si>
    <t>куб. м.</t>
  </si>
  <si>
    <t>количество населенных пунктов, в которых проведены мероприятия по предотвращению подтопления паводковыми водами</t>
  </si>
  <si>
    <t>1.2.53</t>
  </si>
  <si>
    <t>количество площадок накопления твердых коммунальных отходов, содержащихся в надлежащем порядке</t>
  </si>
  <si>
    <t>Создание и содержание площадок накопления твердых коммунальных отходов</t>
  </si>
  <si>
    <t>Подготовка земельных участков под строительство жилых домов в с. Оксино</t>
  </si>
  <si>
    <t>Обследование технического состояния фундамента жилого дома № 5А по ул. Полярная с. Тельвиская МО «Тельвисочный сельсовет» НАО</t>
  </si>
  <si>
    <r>
      <t xml:space="preserve">Ремонт </t>
    </r>
    <r>
      <rPr>
        <sz val="11"/>
        <color rgb="FF000000"/>
        <rFont val="Times New Roman"/>
        <family val="1"/>
        <charset val="204"/>
      </rPr>
      <t>узлов прохода вентиляционных труб через кровлю</t>
    </r>
    <r>
      <rPr>
        <sz val="11"/>
        <color theme="1"/>
        <rFont val="Times New Roman"/>
        <family val="1"/>
        <charset val="204"/>
      </rPr>
      <t xml:space="preserve"> в жилом доме № 87А в с. Великовисочное МО «Великовисочный сельсовет» НАО</t>
    </r>
  </si>
  <si>
    <t>1.6.8</t>
  </si>
  <si>
    <t>Выполнение работ на внутренней системе отопления жилого дома № 67 по ул. Центральная с. Коткино и установка приборов учёта тепловой энергии</t>
  </si>
  <si>
    <t>Монтаж комплектной трансформаторной подстанции 250/10/0,4 кВ для бесперебойного снабжения строящейся школы в п. Индига</t>
  </si>
  <si>
    <t>Приобретение дизель-генераторов АД-30 в количестве 6 единиц в д. Макарово, д. Куя</t>
  </si>
  <si>
    <t>4.2.13</t>
  </si>
  <si>
    <t>Приобретение дымовой трубы для капитального ремонта центральной котельной п. Амдерма</t>
  </si>
  <si>
    <t>4.2.14</t>
  </si>
  <si>
    <t>Приобретение трубной продукции в пенополимерминеральной изоляции для ремонта сетей теплоснабжения в п. Амдерма, с. Ома, п. Индига, с. Нижняя-Пеша, п. Каратайка, с. Несь</t>
  </si>
  <si>
    <t>4.2.15</t>
  </si>
  <si>
    <t>Приобретение трубной продукции и отводов в пенополимерминеральной изоляции для капитального ремонта сетей теплоснабжения в п. Харута</t>
  </si>
  <si>
    <t>4.2.16</t>
  </si>
  <si>
    <t>Приобретение  комплектной трансформаторной подстанции КТП 250 кВА в п. Индига</t>
  </si>
  <si>
    <t>4.2.17</t>
  </si>
  <si>
    <t>Приобретение  кабельной продукции в п. Амдерма для капитального ремонта ЛЭП</t>
  </si>
  <si>
    <t>4.2.18</t>
  </si>
  <si>
    <t>Приобретение трубной продукции в пенополимерминеральной изоляции для ремонта сетей теплоснабжения в с. Оксино, с. Великовисочное</t>
  </si>
  <si>
    <t>Приобретение главного распределительного щита для капитального ремонта ДЭС д. Макарово</t>
  </si>
  <si>
    <t>Приобретение  кабельной продукции для капитального ремонта ЛЭП в с. Коткино</t>
  </si>
  <si>
    <t>Приобретение стоек деревянных для капитального ремонта ЛЭП в с. Коткино</t>
  </si>
  <si>
    <t>Приобретение кабельной продукции и электротехнических материалов для создания аварийного резерва</t>
  </si>
  <si>
    <t>Ремонт многоквартирного жилого дома № 4 по ул. Озерная в д. Андег МО "Андегский сельсовет" НАО</t>
  </si>
  <si>
    <t>количество объектов теплоснабжения, для которых приобретенено дополнительное оборудование</t>
  </si>
  <si>
    <t>количество приобретенных дизель-генераторов</t>
  </si>
  <si>
    <t>количество квартир муниципального жилищного фонда, в которых установлены (заменены) индивидуальные приборы учета коммунальных ресурсов</t>
  </si>
  <si>
    <t>1.2.36</t>
  </si>
  <si>
    <t>4.2.10</t>
  </si>
  <si>
    <t>4.2.19</t>
  </si>
  <si>
    <t>4.2.20</t>
  </si>
  <si>
    <t>4.2.21</t>
  </si>
  <si>
    <t>4.2.22</t>
  </si>
  <si>
    <t>количество смонтированных комплектных трансформаторных подстанций</t>
  </si>
  <si>
    <t>2.4.2.10</t>
  </si>
  <si>
    <t>Поставка и установка остановочного павильона для жидания воздушных судов в с. Шойна МО "Шоинский сельсовет" НАО</t>
  </si>
  <si>
    <t>5.14.</t>
  </si>
  <si>
    <t>Раздел 14. Создание условий для развития сельскохозяйственного производства</t>
  </si>
  <si>
    <t>5.14.1</t>
  </si>
  <si>
    <t>Разработка проекта на строительство фермы на 50 голов в с. Нижняя Пеша МО "Пешский сельсовет" НАО</t>
  </si>
  <si>
    <t>5.7.4</t>
  </si>
  <si>
    <t>5.4.2</t>
  </si>
  <si>
    <t>Обследование и подготовка проектной документации на реставрацию объекта культурного наследия "Благовещенская церковь" в с. Несь МО "Канинский сельсовет" НАО</t>
  </si>
  <si>
    <t>2.4.1.6</t>
  </si>
  <si>
    <t>2.5.8</t>
  </si>
  <si>
    <t>2.4.2.11</t>
  </si>
  <si>
    <t>2.4.2.12</t>
  </si>
  <si>
    <t>2.4.2.13</t>
  </si>
  <si>
    <t>2.4.2.14</t>
  </si>
  <si>
    <t>Приобретение и доставка мобильного здания на базе двух блок-контейнеров (помещения ожидания воздушных судов) в 
с. Ома МО «Омский сельсовет» НАО</t>
  </si>
  <si>
    <t>Приобретение и доставка мобильного здания (помещения ожидания воздушных судов) в д. Снопа МО "Омский сельсовет" НАО</t>
  </si>
  <si>
    <t>3.1.6</t>
  </si>
  <si>
    <t>3.1.7</t>
  </si>
  <si>
    <t xml:space="preserve">Отбор проб и исследование воды водных объектов 
на паразитологические, микробиологические и санитарно-гигиенические показатели в населённых пунктах: 
с. Несь, д. Белушье, д. Волонга, д. Волоковая, д. Верхняя Пёша, д. Мгла, п. Варнек, с. Шойна, д. Снопа, д. Вижас 
д. Щелино, д. Пылемец, д. Осколково, д. Кия, 
д. Тошвиска
</t>
  </si>
  <si>
    <t>Отбор проб и исследование воды водных объектов 
на соли тяжёлых металлов, радиологию 
в населённых пунктах: с. Несь, д. Белушье, 
д. Волонга, д. Волоковая, д. Верхняя Пёша, 
д. Мгла, п. Варнек, с. Шойна, д. Снопа, д. Вижас 
д. Щелино, д. Пылемец, д. Осколково, д. Кия, 
д. Тошвиска</t>
  </si>
  <si>
    <t>4.1.23</t>
  </si>
  <si>
    <t>Разработка проектной документации на реконструкцию ЛЭП в п. Амдерма</t>
  </si>
  <si>
    <t>4.1.24</t>
  </si>
  <si>
    <t>Устройство вертолетной площадки в с. Шойна МО "Шоинский сельсовет" НАО</t>
  </si>
  <si>
    <r>
      <t>Поставка, монтаж и пуско-наладочные работы водоподготовительной установки</t>
    </r>
    <r>
      <rPr>
        <sz val="12"/>
        <color rgb="FF000000"/>
        <rFont val="Times New Roman"/>
        <family val="1"/>
        <charset val="204"/>
      </rPr>
      <t xml:space="preserve"> д. Верхняя Пеша МО «Пешский сельсовет» НАО</t>
    </r>
  </si>
  <si>
    <r>
      <t>Поставка, монтаж и пуско-наладочные работы водоподготовительной установки</t>
    </r>
    <r>
      <rPr>
        <sz val="12"/>
        <color rgb="FF000000"/>
        <rFont val="Times New Roman"/>
        <family val="1"/>
        <charset val="204"/>
      </rPr>
      <t xml:space="preserve"> д. Щелино МО «Великовисочный сельсовет» НАО</t>
    </r>
  </si>
  <si>
    <r>
      <t>Поставка, монтаж и пуско-наладочные работы водоподготовительной установки</t>
    </r>
    <r>
      <rPr>
        <sz val="12"/>
        <color rgb="FF000000"/>
        <rFont val="Times New Roman"/>
        <family val="1"/>
        <charset val="204"/>
      </rPr>
      <t xml:space="preserve"> д. Пылемец МО «Великовисочный сельсовет» НАО</t>
    </r>
  </si>
  <si>
    <r>
      <t xml:space="preserve">Поставка, монтаж и пуско-наладочные работы водоподготовительной установки п. Бугрино </t>
    </r>
    <r>
      <rPr>
        <sz val="12"/>
        <color rgb="FF000000"/>
        <rFont val="Times New Roman"/>
        <family val="1"/>
        <charset val="204"/>
      </rPr>
      <t xml:space="preserve"> МО «Колгуевский сельсовет» НАО</t>
    </r>
  </si>
  <si>
    <r>
      <t>Поставка, монтаж и пуско-наладочные работы водоподготовительной установки</t>
    </r>
    <r>
      <rPr>
        <sz val="12"/>
        <color rgb="FF000000"/>
        <rFont val="Times New Roman"/>
        <family val="1"/>
        <charset val="204"/>
      </rPr>
      <t xml:space="preserve"> п. Выучейский МО «Тиманский сельсовет» НАО</t>
    </r>
  </si>
  <si>
    <t>количество разработанной проектной документации на проведение реставрационных работ объектов культурного наследия</t>
  </si>
  <si>
    <t>Создание условий для развития сельскохозяйственного производства</t>
  </si>
  <si>
    <t>количество приобретенной техники, оборудования для перевозки пассажиров</t>
  </si>
  <si>
    <t>Приобретение современной техники, оборудования удовлетворяющей специфике региона</t>
  </si>
  <si>
    <t>Проведение кадастровых работ по формированию 1-го земельного участка под жилые дома в МО «Хорей-Верский  сельсовет» НАО</t>
  </si>
  <si>
    <t>Проведение кадастровых работ по формированию 1-го земельного участка под жилые дома в МО «Приморско-Куйский сельсовет» НАО</t>
  </si>
  <si>
    <t>4.2.23</t>
  </si>
  <si>
    <t>2.4.4.2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</si>
  <si>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</si>
  <si>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2.4.2.15</t>
  </si>
  <si>
    <t>Приобретение и доставка мобильного здания (помещения ожидания воздушных судов) в 
д. Волоковая МО «Пешский сельсовет» НАО</t>
  </si>
  <si>
    <t>Ремонт дорожного покрытия участка автомобильной дороги общего пользования местного значения «с. Оксино - аэропорт» (участок от дома № 110 до дома №120) МО «Пустозерский сельсовет» НАО</t>
  </si>
  <si>
    <t>2.5.9</t>
  </si>
  <si>
    <t>2.5.10</t>
  </si>
  <si>
    <t>Ремонт участка автомобильной дороги общего пользования местного значения «с. Великовисочное – причал» МО «Великовисочный сельсовет» НАО</t>
  </si>
  <si>
    <t>4.1.25</t>
  </si>
  <si>
    <t>4.1.26</t>
  </si>
  <si>
    <t>Разработка проектной документации на строительство ЛЭП 0,4 кВ в п. Хонгурей</t>
  </si>
  <si>
    <t>Разработка проектной документации на строительство ЛЭП 0,4 кВ в д. Каменка</t>
  </si>
  <si>
    <t>Разработка проектной документации по капитальному ремонту ЛЭП п. Усть-Кара</t>
  </si>
  <si>
    <t>5.3.4.11</t>
  </si>
  <si>
    <t>5.10.20</t>
  </si>
  <si>
    <t>II этап обустройства спортивной площадки в районе дома № 30 по ул. Пустозерская в селе Тельвиска</t>
  </si>
  <si>
    <t>5.10.21</t>
  </si>
  <si>
    <t>Устройство покрытия проездов в районе улиц Набережная и Профсоюзная в с. Несь МО «Канинский сельсовет» НАО</t>
  </si>
  <si>
    <t>5.10.22</t>
  </si>
  <si>
    <t>Укрепление откосов проездов в районе ул. Школьная в с. Коткино МО «Коткинский сельсовет» НАО</t>
  </si>
  <si>
    <t>Раздел 3.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 (ремонт и содержание автомобильных дорог общего пользования местного значения)</t>
  </si>
  <si>
    <t>количество введенных дополнительных судовых ходов</t>
  </si>
  <si>
    <t>Поставка, монтаж и пуско-наладочные работы водоподготовительной установки в п. Выучейский МО «Тиманский сельсовет» НАО</t>
  </si>
  <si>
    <t>3.2.19</t>
  </si>
  <si>
    <t>Поставка, монтаж и пуско-наладочные работы водоподготовительной установки в д. Чижа МО «Канинский сельсовет» НАО</t>
  </si>
  <si>
    <t>3.2.20</t>
  </si>
  <si>
    <t>Модернизация водоподготовительной установки в п. Бугрино МО «Колгуевский сельсовет» НАО</t>
  </si>
  <si>
    <t>количество разработанных проектов на строительство, реконструкцию и ремонт объектов электроэнергетики</t>
  </si>
  <si>
    <t>Поставка, монтаж и пуско-наладочные работы блочной транспортабельной автоматизированной котельной мощностью 500 кВт в п. Красное</t>
  </si>
  <si>
    <t>Поставка дизель-генераторных установок (ДГУ АД-315) в количестве 2-х единиц в п. Амдерма</t>
  </si>
  <si>
    <t>Поставка дизель-генераторных установок (ДГУ АД-315) в количестве 2-х единиц в с. Нижняя Пёша</t>
  </si>
  <si>
    <t>Поставка дизель-генераторной установки (ДГУ АД-315) в с. Несь</t>
  </si>
  <si>
    <t>Поставка дизель-генераторной установки (ДГУ АД-100) в с. Несь</t>
  </si>
  <si>
    <t>Поставка трансформаторной подстанции в п. Каратайка</t>
  </si>
  <si>
    <t>Поставка дизель-генераторной установки (ДГУ АД-250) в г. Нарьян-Мар (для ЖКУ «Оксино»)</t>
  </si>
  <si>
    <t>Поставка резервуаров объемом 100 куб.м. для хранения дизельного топлива в кол-ве 3 ед. в с. Несь</t>
  </si>
  <si>
    <t>4.2.24</t>
  </si>
  <si>
    <t>4.2.25</t>
  </si>
  <si>
    <t>4.2.26</t>
  </si>
  <si>
    <t>4.2.27</t>
  </si>
  <si>
    <t>4.2.28</t>
  </si>
  <si>
    <t>4.2.29</t>
  </si>
  <si>
    <t>4.2.30</t>
  </si>
  <si>
    <t>количество поставленных трансформаторных подстанций</t>
  </si>
  <si>
    <t>количество введенных автоматизированных котельных</t>
  </si>
  <si>
    <t>Фотофиксация на строящемся объекте "Спортивное сооружение с универсальным игровым залом в п. Амдерма НАО"</t>
  </si>
  <si>
    <t>количество обустроенных спортивных площадок</t>
  </si>
  <si>
    <t>количество обустроенных проездов в поселениях</t>
  </si>
  <si>
    <t>5.14.2</t>
  </si>
  <si>
    <t>Приобретение запчастей к сельскохозяйственной технике для МКП «Великовисочный животноводческий комплекс»</t>
  </si>
  <si>
    <t>количество разработанных проектов на строительство объектов сельского хозяйства</t>
  </si>
  <si>
    <t>Геологические исследования и разведка подземных вод в д. Каменка и п. Хонгурей Ненецкого АО</t>
  </si>
  <si>
    <t>5.14.1.1</t>
  </si>
  <si>
    <t>МО "Пешский  сельсовет" НАО</t>
  </si>
  <si>
    <t>5.14.1.2</t>
  </si>
  <si>
    <t>5.14.1.3</t>
  </si>
  <si>
    <t>5.14.2.1</t>
  </si>
  <si>
    <t>5.14.2.2</t>
  </si>
  <si>
    <t>5.14.2.3</t>
  </si>
  <si>
    <t>Подраздел 2. Поставка кормов для предприятий сельскохозяйственного производства</t>
  </si>
  <si>
    <t>Подраздел 1. Реализация сенозаготовительной кампании предприятий сельскохозяйственного производства</t>
  </si>
  <si>
    <t>5.14.3</t>
  </si>
  <si>
    <t>Подраздел 3. Иные мероприятия</t>
  </si>
  <si>
    <t>5.14.3.1</t>
  </si>
  <si>
    <t>5.14.3.2</t>
  </si>
  <si>
    <t>5.14.3.3</t>
  </si>
  <si>
    <t>Приобретение роторных моторов для МКП "Великовисочный животноводческий комплекс" в количестве двух единиц</t>
  </si>
  <si>
    <t>количество сельскохозяйственных предприятий, которым оказана финансовая поддержка на сенозаготовительную кампанию</t>
  </si>
  <si>
    <t>количество поставленного корма для сельскохозяйственных предприятий</t>
  </si>
  <si>
    <t>тонн</t>
  </si>
  <si>
    <t>количество специализированной техники, для которой приобретены запчасти, запасные части</t>
  </si>
  <si>
    <t>3.2.21</t>
  </si>
  <si>
    <t>Приобретение комплекта приборов и расходных материалов для экспресс-анализа природной и питьевой воды в водоподготовительных установках с. Оксино, п. Хонгурей, д. Каменка и общественного колодца 
с. Оксино МО «Пустозерский сельсовет» НАО</t>
  </si>
  <si>
    <t>количество приобретенных наборов оборудования для проведения анализа качества воды</t>
  </si>
  <si>
    <t>Поставка дизель-генераторной установки (ДГУ АД-100) в п. Варнек</t>
  </si>
  <si>
    <t>4.2.31</t>
  </si>
  <si>
    <t>Поставка дизель-генераторной установки (ДГУ АД-150) в д. Каменка</t>
  </si>
  <si>
    <t>4.2.32</t>
  </si>
  <si>
    <t>2.4.1.7</t>
  </si>
  <si>
    <t>Проведение ремонтных работ СВП "Василий Самойлов"</t>
  </si>
  <si>
    <t>2.4.2.16</t>
  </si>
  <si>
    <t>Поставка понтонного причала в г. Нарьян-Мар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</si>
  <si>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Варнек, д. Осколково, д. Тошвиска, с. Несь</t>
  </si>
  <si>
    <t>3.1.8</t>
  </si>
  <si>
    <t>3.1.9</t>
  </si>
  <si>
    <t>Отбор проб и исследование воды водных объектов на соли тяжёлых металлов, радиологию и пестициды в населённых пунктах: п. Варнек, д. Осколково, д. Тошвиска, с. Несь</t>
  </si>
  <si>
    <t>3.2.22</t>
  </si>
  <si>
    <t>Поставка, монтаж и пуско-наладочные работы водоподготовительной установки в п. Варнек МО «Юшарский сельсовет» НАО</t>
  </si>
  <si>
    <t>4.1.27</t>
  </si>
  <si>
    <t>Разработка проектно-сметной документации на строительство ДЭС в составе действующих ветроэлектрических установок в п. Амдерма</t>
  </si>
  <si>
    <t>Поставка дизель-генераторных установок (ДГУ АД-200) в количестве 2-х единиц в п. Амдерма</t>
  </si>
  <si>
    <t>5.10.23</t>
  </si>
  <si>
    <t>Устройство покрытия проездов в районе улиц Профсоюзная и Новая к детскому саду в с. Несь МО «Канинский сельсовет» НАО</t>
  </si>
  <si>
    <t>5.10.24</t>
  </si>
  <si>
    <t>Благоустройство обелиска памяти воинов, павших в годы ВОВ 1941-1945 гг. в с. Шойна МО «Шоинский сельсовет» НАО</t>
  </si>
  <si>
    <t>5.14.3.4</t>
  </si>
  <si>
    <t>Завершение строительства объекта "Ферма на 50 голов в с. Ома"</t>
  </si>
  <si>
    <t>5.14.3.5</t>
  </si>
  <si>
    <t>Приобретение строительных материалов с целью проведения ремонта здания коровника для МКП Омский животноводческий комплекс</t>
  </si>
  <si>
    <t>Ремонт здания коровника для МКП Омский животноводческий комплекс</t>
  </si>
  <si>
    <t>5.14.3.6</t>
  </si>
  <si>
    <t>5.14.3.7</t>
  </si>
  <si>
    <t>Приобретение объекта «Молочно-товарная ферма на 99 голов крупнорогатого скота в д. Лабожское МО «Великовисочный сельсовет» НАО</t>
  </si>
  <si>
    <t>количество объектов сельского хозяйства, в которых проведен ремонт</t>
  </si>
  <si>
    <t>количество построенных (приобретенных) объектов сельского хозяйства</t>
  </si>
  <si>
    <t>4.2.33</t>
  </si>
  <si>
    <t>4.2.34</t>
  </si>
  <si>
    <t>4.2.35</t>
  </si>
  <si>
    <t>4.2.36</t>
  </si>
  <si>
    <t>4.2.36.1</t>
  </si>
  <si>
    <t>4.2.36.2</t>
  </si>
  <si>
    <t>4.2.36.3</t>
  </si>
  <si>
    <t>4.2.36.4</t>
  </si>
  <si>
    <t>4.2.36.5</t>
  </si>
  <si>
    <t>4.2.36.6</t>
  </si>
  <si>
    <t>4.2.36.7</t>
  </si>
  <si>
    <t>4.2.36.8</t>
  </si>
  <si>
    <t>4.2.36.9</t>
  </si>
  <si>
    <t>4.2.36.10</t>
  </si>
  <si>
    <t>4.2.36.11</t>
  </si>
  <si>
    <t>Поставка котла водогрейного КВр-1,16 с ручным топочным устройством в с.Ома</t>
  </si>
  <si>
    <t>Поставка КТП-04/6 кВ 2х630 кВА в п. Амдерма</t>
  </si>
  <si>
    <t>Поставка водогрейных дизельных котлов в количестве 10 шт.</t>
  </si>
  <si>
    <t>Проведение кадастровых работ по формированию 3 земельных участков под жилые дома в МО «Пустозерский сельсовет» НАО</t>
  </si>
  <si>
    <t>Приобретение и доставка двух мобильных зданий (помещения ожидания воздушных судов) в п. Харута МО "Хоседа-Хардский сельсовет" НАО с подключением к электросетям</t>
  </si>
  <si>
    <t>количество поставленных причалов</t>
  </si>
  <si>
    <t>количество объектов сельского хозяйства, для которых приобретены строительные материалы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</si>
</sst>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.0_р_._-;\-* #,##0.0_р_._-;_-* &quot;-&quot;?_р_._-;_-@_-"/>
    <numFmt numFmtId="165" formatCode="#,##0.0"/>
    <numFmt numFmtId="166" formatCode="0_ ;\-0\ "/>
    <numFmt numFmtId="167" formatCode="0.0"/>
    <numFmt numFmtId="168" formatCode="_-* #,##0.0_р_._-;\-* #,##0.0_р_._-;_-* &quot;-&quot;??_р_._-;_-@_-"/>
    <numFmt numFmtId="169" formatCode="_-* #,##0.0\ _₽_-;\-* #,##0.0\ _₽_-;_-* &quot;-&quot;?\ _₽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trike/>
      <sz val="11"/>
      <color rgb="FF000000"/>
      <name val="Times New Roman"/>
      <family val="1"/>
      <charset val="204"/>
    </font>
    <font>
      <strike/>
      <sz val="11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249">
    <xf numFmtId="0" fontId="0" fillId="0" borderId="0" xfId="0"/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64" fontId="5" fillId="0" borderId="1" xfId="1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vertical="center" wrapText="1"/>
    </xf>
    <xf numFmtId="164" fontId="5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10" fillId="0" borderId="1" xfId="3" applyNumberFormat="1" applyFont="1" applyFill="1" applyBorder="1" applyAlignment="1">
      <alignment vertical="center" wrapText="1"/>
    </xf>
    <xf numFmtId="164" fontId="9" fillId="0" borderId="1" xfId="3" applyNumberFormat="1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9" fillId="0" borderId="1" xfId="3" applyFont="1" applyFill="1" applyBorder="1" applyAlignment="1">
      <alignment vertical="center" wrapText="1"/>
    </xf>
    <xf numFmtId="0" fontId="9" fillId="0" borderId="2" xfId="3" applyFont="1" applyFill="1" applyBorder="1" applyAlignment="1">
      <alignment vertical="center" wrapText="1"/>
    </xf>
    <xf numFmtId="165" fontId="8" fillId="0" borderId="2" xfId="0" applyNumberFormat="1" applyFont="1" applyFill="1" applyBorder="1" applyAlignment="1">
      <alignment vertical="center" wrapText="1"/>
    </xf>
    <xf numFmtId="165" fontId="8" fillId="0" borderId="4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164" fontId="11" fillId="0" borderId="1" xfId="0" applyNumberFormat="1" applyFont="1" applyFill="1" applyBorder="1" applyAlignment="1">
      <alignment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vertical="center" wrapText="1"/>
    </xf>
    <xf numFmtId="164" fontId="9" fillId="0" borderId="1" xfId="1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164" fontId="8" fillId="0" borderId="5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 applyProtection="1">
      <alignment vertical="center" wrapText="1"/>
      <protection locked="0"/>
    </xf>
    <xf numFmtId="0" fontId="9" fillId="0" borderId="9" xfId="3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6" fillId="0" borderId="7" xfId="1" applyNumberFormat="1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wrapText="1"/>
    </xf>
    <xf numFmtId="165" fontId="8" fillId="0" borderId="8" xfId="0" applyNumberFormat="1" applyFont="1" applyFill="1" applyBorder="1" applyAlignment="1">
      <alignment vertical="center" wrapText="1"/>
    </xf>
    <xf numFmtId="1" fontId="6" fillId="0" borderId="3" xfId="0" applyNumberFormat="1" applyFont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164" fontId="5" fillId="0" borderId="7" xfId="1" applyNumberFormat="1" applyFont="1" applyFill="1" applyBorder="1" applyAlignment="1">
      <alignment vertical="center"/>
    </xf>
    <xf numFmtId="165" fontId="5" fillId="0" borderId="1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justify" vertical="top" wrapText="1"/>
    </xf>
    <xf numFmtId="0" fontId="19" fillId="0" borderId="0" xfId="0" applyFont="1" applyFill="1" applyAlignment="1">
      <alignment horizontal="justify" vertical="top" wrapText="1"/>
    </xf>
    <xf numFmtId="0" fontId="20" fillId="0" borderId="0" xfId="0" applyFont="1" applyFill="1" applyAlignment="1">
      <alignment horizontal="justify" vertical="top" wrapText="1"/>
    </xf>
    <xf numFmtId="0" fontId="16" fillId="0" borderId="0" xfId="0" applyFont="1" applyFill="1" applyAlignment="1">
      <alignment horizontal="center" vertical="top" wrapText="1"/>
    </xf>
    <xf numFmtId="0" fontId="6" fillId="0" borderId="0" xfId="5" applyFont="1" applyFill="1" applyBorder="1" applyAlignment="1">
      <alignment horizontal="justify" vertical="top" wrapText="1"/>
    </xf>
    <xf numFmtId="0" fontId="5" fillId="0" borderId="0" xfId="5" applyFont="1" applyFill="1" applyBorder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164" fontId="5" fillId="0" borderId="0" xfId="5" applyNumberFormat="1" applyFont="1" applyFill="1" applyBorder="1" applyAlignment="1">
      <alignment horizontal="justify" vertical="top" wrapText="1"/>
    </xf>
    <xf numFmtId="166" fontId="7" fillId="0" borderId="1" xfId="5" applyNumberFormat="1" applyFont="1" applyFill="1" applyBorder="1" applyAlignment="1">
      <alignment horizontal="center" vertical="top" wrapText="1"/>
    </xf>
    <xf numFmtId="0" fontId="5" fillId="0" borderId="1" xfId="5" applyFont="1" applyFill="1" applyBorder="1" applyAlignment="1">
      <alignment horizontal="center" vertical="top" wrapText="1"/>
    </xf>
    <xf numFmtId="0" fontId="5" fillId="0" borderId="0" xfId="5" applyFont="1" applyFill="1" applyBorder="1" applyAlignment="1">
      <alignment horizontal="center" vertical="top" wrapText="1"/>
    </xf>
    <xf numFmtId="164" fontId="6" fillId="2" borderId="1" xfId="5" applyNumberFormat="1" applyFont="1" applyFill="1" applyBorder="1" applyAlignment="1">
      <alignment horizontal="left" vertical="top" wrapText="1"/>
    </xf>
    <xf numFmtId="164" fontId="6" fillId="2" borderId="1" xfId="5" applyNumberFormat="1" applyFont="1" applyFill="1" applyBorder="1" applyAlignment="1">
      <alignment horizontal="justify" vertical="top" wrapText="1"/>
    </xf>
    <xf numFmtId="0" fontId="6" fillId="0" borderId="1" xfId="5" applyNumberFormat="1" applyFont="1" applyFill="1" applyBorder="1" applyAlignment="1">
      <alignment horizontal="left" vertical="top" wrapText="1"/>
    </xf>
    <xf numFmtId="164" fontId="6" fillId="0" borderId="1" xfId="5" applyNumberFormat="1" applyFont="1" applyFill="1" applyBorder="1" applyAlignment="1">
      <alignment horizontal="justify" vertical="top" wrapText="1"/>
    </xf>
    <xf numFmtId="164" fontId="6" fillId="0" borderId="1" xfId="5" applyNumberFormat="1" applyFont="1" applyFill="1" applyBorder="1" applyAlignment="1">
      <alignment horizontal="left" vertical="top" wrapText="1"/>
    </xf>
    <xf numFmtId="0" fontId="6" fillId="0" borderId="1" xfId="5" applyNumberFormat="1" applyFont="1" applyFill="1" applyBorder="1" applyAlignment="1">
      <alignment horizontal="justify" vertical="top" wrapText="1"/>
    </xf>
    <xf numFmtId="0" fontId="18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17" fillId="0" borderId="16" xfId="0" applyFont="1" applyFill="1" applyBorder="1" applyAlignment="1">
      <alignment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justify" vertical="center" wrapText="1"/>
    </xf>
    <xf numFmtId="0" fontId="17" fillId="0" borderId="17" xfId="0" applyFont="1" applyFill="1" applyBorder="1" applyAlignment="1">
      <alignment horizontal="justify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justify" vertical="center" wrapText="1"/>
    </xf>
    <xf numFmtId="0" fontId="17" fillId="0" borderId="18" xfId="0" applyFont="1" applyFill="1" applyBorder="1" applyAlignment="1">
      <alignment horizontal="center" vertical="center" wrapText="1"/>
    </xf>
    <xf numFmtId="3" fontId="17" fillId="0" borderId="16" xfId="0" applyNumberFormat="1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justify" vertical="center" wrapText="1"/>
    </xf>
    <xf numFmtId="0" fontId="17" fillId="0" borderId="22" xfId="0" applyFont="1" applyFill="1" applyBorder="1" applyAlignment="1">
      <alignment horizontal="justify" vertical="center" wrapText="1"/>
    </xf>
    <xf numFmtId="0" fontId="17" fillId="0" borderId="22" xfId="0" applyFont="1" applyFill="1" applyBorder="1" applyAlignment="1">
      <alignment horizontal="center" vertical="center" wrapText="1"/>
    </xf>
    <xf numFmtId="49" fontId="6" fillId="0" borderId="7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vertical="center"/>
    </xf>
    <xf numFmtId="0" fontId="22" fillId="0" borderId="16" xfId="0" applyFont="1" applyFill="1" applyBorder="1" applyAlignment="1">
      <alignment horizontal="justify" vertical="center" wrapText="1"/>
    </xf>
    <xf numFmtId="0" fontId="22" fillId="0" borderId="16" xfId="0" applyFont="1" applyFill="1" applyBorder="1" applyAlignment="1">
      <alignment horizontal="center" vertical="center" wrapText="1"/>
    </xf>
    <xf numFmtId="0" fontId="23" fillId="0" borderId="0" xfId="0" applyFont="1" applyFill="1"/>
    <xf numFmtId="0" fontId="17" fillId="0" borderId="0" xfId="0" applyFont="1" applyFill="1" applyBorder="1" applyAlignment="1">
      <alignment horizontal="justify" vertical="center" wrapText="1"/>
    </xf>
    <xf numFmtId="0" fontId="17" fillId="0" borderId="19" xfId="0" applyFont="1" applyFill="1" applyBorder="1" applyAlignment="1">
      <alignment vertical="center" wrapText="1"/>
    </xf>
    <xf numFmtId="0" fontId="17" fillId="0" borderId="20" xfId="0" applyFont="1" applyFill="1" applyBorder="1" applyAlignment="1">
      <alignment horizontal="justify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vertical="center" wrapText="1"/>
      <protection locked="0"/>
    </xf>
    <xf numFmtId="0" fontId="9" fillId="0" borderId="1" xfId="0" applyNumberFormat="1" applyFont="1" applyFill="1" applyBorder="1" applyAlignment="1">
      <alignment wrapText="1"/>
    </xf>
    <xf numFmtId="168" fontId="6" fillId="0" borderId="1" xfId="4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7" xfId="0" applyFont="1" applyFill="1" applyBorder="1" applyAlignment="1">
      <alignment horizontal="justify" vertical="center" wrapText="1"/>
    </xf>
    <xf numFmtId="165" fontId="8" fillId="0" borderId="25" xfId="0" applyNumberFormat="1" applyFont="1" applyFill="1" applyBorder="1" applyAlignment="1">
      <alignment vertical="center" wrapText="1"/>
    </xf>
    <xf numFmtId="169" fontId="6" fillId="0" borderId="1" xfId="0" applyNumberFormat="1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Alignment="1">
      <alignment wrapText="1"/>
    </xf>
    <xf numFmtId="0" fontId="6" fillId="0" borderId="2" xfId="0" applyFont="1" applyFill="1" applyBorder="1" applyAlignment="1">
      <alignment horizontal="justify" vertical="center" wrapText="1"/>
    </xf>
    <xf numFmtId="0" fontId="16" fillId="0" borderId="0" xfId="0" applyFont="1" applyFill="1" applyAlignment="1">
      <alignment wrapText="1"/>
    </xf>
    <xf numFmtId="164" fontId="6" fillId="0" borderId="7" xfId="1" applyNumberFormat="1" applyFont="1" applyFill="1" applyBorder="1" applyAlignment="1">
      <alignment vertical="center"/>
    </xf>
    <xf numFmtId="49" fontId="6" fillId="0" borderId="3" xfId="1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wrapText="1"/>
    </xf>
    <xf numFmtId="0" fontId="26" fillId="0" borderId="0" xfId="0" applyFont="1" applyFill="1" applyAlignment="1">
      <alignment wrapText="1"/>
    </xf>
    <xf numFmtId="0" fontId="26" fillId="0" borderId="1" xfId="0" applyFont="1" applyFill="1" applyBorder="1" applyAlignment="1">
      <alignment wrapText="1"/>
    </xf>
    <xf numFmtId="0" fontId="25" fillId="0" borderId="0" xfId="0" applyFont="1" applyFill="1" applyAlignment="1">
      <alignment wrapText="1"/>
    </xf>
    <xf numFmtId="167" fontId="17" fillId="0" borderId="16" xfId="0" applyNumberFormat="1" applyFont="1" applyFill="1" applyBorder="1" applyAlignment="1">
      <alignment horizontal="center" vertical="center" wrapText="1"/>
    </xf>
    <xf numFmtId="0" fontId="16" fillId="0" borderId="19" xfId="5" applyFont="1" applyFill="1" applyBorder="1" applyAlignment="1">
      <alignment horizontal="left" vertical="center" wrapText="1"/>
    </xf>
    <xf numFmtId="0" fontId="17" fillId="0" borderId="19" xfId="0" applyFont="1" applyFill="1" applyBorder="1" applyAlignment="1">
      <alignment wrapText="1"/>
    </xf>
    <xf numFmtId="0" fontId="16" fillId="0" borderId="16" xfId="0" applyFont="1" applyFill="1" applyBorder="1" applyAlignment="1">
      <alignment wrapText="1"/>
    </xf>
    <xf numFmtId="0" fontId="16" fillId="0" borderId="20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wrapText="1"/>
    </xf>
    <xf numFmtId="0" fontId="21" fillId="0" borderId="16" xfId="0" applyFont="1" applyFill="1" applyBorder="1" applyAlignment="1">
      <alignment horizontal="justify" vertical="center" wrapText="1"/>
    </xf>
    <xf numFmtId="0" fontId="9" fillId="0" borderId="7" xfId="3" applyFont="1" applyFill="1" applyBorder="1" applyAlignment="1">
      <alignment vertical="center" wrapText="1"/>
    </xf>
    <xf numFmtId="164" fontId="7" fillId="0" borderId="7" xfId="0" applyNumberFormat="1" applyFont="1" applyFill="1" applyBorder="1" applyAlignment="1">
      <alignment vertical="center" wrapText="1"/>
    </xf>
    <xf numFmtId="164" fontId="11" fillId="0" borderId="7" xfId="0" applyNumberFormat="1" applyFont="1" applyFill="1" applyBorder="1" applyAlignment="1">
      <alignment vertical="center" wrapText="1"/>
    </xf>
    <xf numFmtId="0" fontId="11" fillId="0" borderId="9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67" fontId="16" fillId="0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5" fontId="21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 wrapText="1"/>
    </xf>
    <xf numFmtId="167" fontId="17" fillId="0" borderId="1" xfId="0" applyNumberFormat="1" applyFont="1" applyFill="1" applyBorder="1" applyAlignment="1">
      <alignment horizontal="center" vertical="center" wrapText="1"/>
    </xf>
    <xf numFmtId="43" fontId="17" fillId="0" borderId="1" xfId="0" applyNumberFormat="1" applyFont="1" applyFill="1" applyBorder="1" applyAlignment="1">
      <alignment horizontal="center" vertical="center" wrapText="1"/>
    </xf>
    <xf numFmtId="43" fontId="17" fillId="0" borderId="1" xfId="0" applyNumberFormat="1" applyFont="1" applyFill="1" applyBorder="1" applyAlignment="1">
      <alignment horizontal="center" vertical="center"/>
    </xf>
    <xf numFmtId="168" fontId="6" fillId="0" borderId="1" xfId="4" applyNumberFormat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vertical="center" wrapText="1"/>
    </xf>
    <xf numFmtId="168" fontId="6" fillId="0" borderId="0" xfId="4" applyNumberFormat="1" applyFont="1" applyFill="1" applyAlignment="1">
      <alignment horizontal="center" vertical="center"/>
    </xf>
    <xf numFmtId="0" fontId="17" fillId="0" borderId="14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vertical="center" wrapText="1"/>
    </xf>
    <xf numFmtId="0" fontId="17" fillId="0" borderId="14" xfId="0" applyFont="1" applyFill="1" applyBorder="1" applyAlignment="1">
      <alignment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justify" vertical="center" wrapText="1"/>
    </xf>
    <xf numFmtId="0" fontId="17" fillId="0" borderId="15" xfId="0" applyFont="1" applyFill="1" applyBorder="1" applyAlignment="1">
      <alignment horizontal="justify" vertical="center" wrapText="1"/>
    </xf>
    <xf numFmtId="0" fontId="17" fillId="0" borderId="14" xfId="0" applyFont="1" applyFill="1" applyBorder="1" applyAlignment="1">
      <alignment horizontal="justify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justify" vertical="center" wrapText="1"/>
    </xf>
    <xf numFmtId="0" fontId="17" fillId="0" borderId="15" xfId="0" applyFont="1" applyFill="1" applyBorder="1" applyAlignment="1">
      <alignment horizontal="justify" vertical="center" wrapText="1"/>
    </xf>
    <xf numFmtId="0" fontId="17" fillId="0" borderId="14" xfId="0" applyFont="1" applyFill="1" applyBorder="1" applyAlignment="1">
      <alignment horizontal="justify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vertical="center" wrapText="1"/>
    </xf>
    <xf numFmtId="0" fontId="17" fillId="0" borderId="14" xfId="0" applyFont="1" applyFill="1" applyBorder="1" applyAlignment="1">
      <alignment vertical="center" wrapText="1"/>
    </xf>
    <xf numFmtId="0" fontId="5" fillId="0" borderId="9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49" fontId="10" fillId="0" borderId="4" xfId="1" applyNumberFormat="1" applyFont="1" applyFill="1" applyBorder="1" applyAlignment="1">
      <alignment vertical="center" wrapText="1"/>
    </xf>
    <xf numFmtId="49" fontId="10" fillId="0" borderId="2" xfId="1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49" fontId="10" fillId="0" borderId="3" xfId="1" applyNumberFormat="1" applyFont="1" applyFill="1" applyBorder="1" applyAlignment="1">
      <alignment vertical="center" wrapText="1"/>
    </xf>
    <xf numFmtId="165" fontId="13" fillId="0" borderId="4" xfId="0" applyNumberFormat="1" applyFont="1" applyFill="1" applyBorder="1" applyAlignment="1">
      <alignment vertical="center" wrapText="1"/>
    </xf>
    <xf numFmtId="165" fontId="13" fillId="0" borderId="2" xfId="0" applyNumberFormat="1" applyFont="1" applyFill="1" applyBorder="1" applyAlignment="1">
      <alignment vertical="center" wrapText="1"/>
    </xf>
    <xf numFmtId="49" fontId="10" fillId="0" borderId="1" xfId="1" applyNumberFormat="1" applyFont="1" applyFill="1" applyBorder="1" applyAlignment="1">
      <alignment vertical="center" wrapText="1"/>
    </xf>
    <xf numFmtId="165" fontId="13" fillId="0" borderId="3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49" fontId="5" fillId="0" borderId="3" xfId="1" applyNumberFormat="1" applyFont="1" applyFill="1" applyBorder="1" applyAlignment="1">
      <alignment vertical="center" wrapText="1"/>
    </xf>
    <xf numFmtId="49" fontId="5" fillId="0" borderId="4" xfId="1" applyNumberFormat="1" applyFont="1" applyFill="1" applyBorder="1" applyAlignment="1">
      <alignment vertical="center" wrapText="1"/>
    </xf>
    <xf numFmtId="49" fontId="5" fillId="0" borderId="2" xfId="1" applyNumberFormat="1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vertical="center" wrapText="1"/>
    </xf>
    <xf numFmtId="0" fontId="5" fillId="0" borderId="5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66" fontId="7" fillId="0" borderId="10" xfId="1" applyNumberFormat="1" applyFont="1" applyFill="1" applyBorder="1" applyAlignment="1">
      <alignment horizontal="center" vertical="center" wrapText="1"/>
    </xf>
    <xf numFmtId="166" fontId="7" fillId="0" borderId="11" xfId="1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top" wrapText="1"/>
    </xf>
    <xf numFmtId="0" fontId="5" fillId="0" borderId="0" xfId="5" applyFont="1" applyFill="1" applyBorder="1" applyAlignment="1">
      <alignment horizontal="center" vertical="top" wrapText="1"/>
    </xf>
    <xf numFmtId="0" fontId="5" fillId="0" borderId="7" xfId="5" applyFont="1" applyFill="1" applyBorder="1" applyAlignment="1">
      <alignment horizontal="center" vertical="top" wrapText="1"/>
    </xf>
    <xf numFmtId="0" fontId="5" fillId="0" borderId="12" xfId="5" applyFont="1" applyFill="1" applyBorder="1" applyAlignment="1">
      <alignment horizontal="center" vertical="top" wrapText="1"/>
    </xf>
    <xf numFmtId="0" fontId="5" fillId="0" borderId="5" xfId="5" applyFont="1" applyFill="1" applyBorder="1" applyAlignment="1">
      <alignment horizontal="center" vertical="top" wrapText="1"/>
    </xf>
    <xf numFmtId="166" fontId="7" fillId="0" borderId="7" xfId="5" applyNumberFormat="1" applyFont="1" applyFill="1" applyBorder="1" applyAlignment="1">
      <alignment horizontal="center" vertical="top" wrapText="1"/>
    </xf>
    <xf numFmtId="166" fontId="7" fillId="0" borderId="12" xfId="5" applyNumberFormat="1" applyFont="1" applyFill="1" applyBorder="1" applyAlignment="1">
      <alignment horizontal="center" vertical="top" wrapText="1"/>
    </xf>
    <xf numFmtId="166" fontId="7" fillId="0" borderId="5" xfId="5" applyNumberFormat="1" applyFont="1" applyFill="1" applyBorder="1" applyAlignment="1">
      <alignment horizontal="center" vertical="top" wrapText="1"/>
    </xf>
    <xf numFmtId="166" fontId="7" fillId="0" borderId="1" xfId="5" applyNumberFormat="1" applyFont="1" applyFill="1" applyBorder="1" applyAlignment="1">
      <alignment horizontal="center" vertical="top" wrapText="1"/>
    </xf>
    <xf numFmtId="0" fontId="6" fillId="2" borderId="7" xfId="5" applyNumberFormat="1" applyFont="1" applyFill="1" applyBorder="1" applyAlignment="1">
      <alignment horizontal="center" vertical="top" wrapText="1"/>
    </xf>
    <xf numFmtId="0" fontId="6" fillId="2" borderId="12" xfId="5" applyNumberFormat="1" applyFont="1" applyFill="1" applyBorder="1" applyAlignment="1">
      <alignment horizontal="center" vertical="top" wrapText="1"/>
    </xf>
    <xf numFmtId="0" fontId="6" fillId="2" borderId="5" xfId="5" applyNumberFormat="1" applyFont="1" applyFill="1" applyBorder="1" applyAlignment="1">
      <alignment horizontal="center" vertical="top" wrapText="1"/>
    </xf>
    <xf numFmtId="0" fontId="5" fillId="2" borderId="7" xfId="5" applyNumberFormat="1" applyFont="1" applyFill="1" applyBorder="1" applyAlignment="1">
      <alignment horizontal="center" vertical="top" wrapText="1"/>
    </xf>
    <xf numFmtId="0" fontId="5" fillId="2" borderId="12" xfId="5" applyNumberFormat="1" applyFont="1" applyFill="1" applyBorder="1" applyAlignment="1">
      <alignment horizontal="center" vertical="top" wrapText="1"/>
    </xf>
    <xf numFmtId="0" fontId="5" fillId="2" borderId="5" xfId="5" applyNumberFormat="1" applyFont="1" applyFill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2"/>
    <cellStyle name="Обычный 2 3" xfId="5"/>
    <cellStyle name="Обычный 2 4" xfId="6"/>
    <cellStyle name="Обычный 3" xfId="3"/>
    <cellStyle name="Финансовый" xfId="4" builtin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J111"/>
  <sheetViews>
    <sheetView topLeftCell="A25" workbookViewId="0">
      <selection activeCell="B29" sqref="B29"/>
    </sheetView>
  </sheetViews>
  <sheetFormatPr defaultRowHeight="15" x14ac:dyDescent="0.25"/>
  <cols>
    <col min="1" max="1" width="30.140625" style="80" customWidth="1"/>
    <col min="2" max="2" width="31.28515625" style="80" customWidth="1"/>
    <col min="3" max="3" width="13.28515625" style="80" customWidth="1"/>
    <col min="4" max="4" width="16.85546875" style="80" customWidth="1"/>
    <col min="5" max="9" width="9.140625" style="80"/>
    <col min="10" max="10" width="9.42578125" style="80" customWidth="1"/>
    <col min="11" max="16384" width="9.140625" style="80"/>
  </cols>
  <sheetData>
    <row r="1" spans="1:10" ht="60" customHeight="1" x14ac:dyDescent="0.25">
      <c r="A1" s="79"/>
      <c r="B1" s="79"/>
      <c r="C1" s="79"/>
      <c r="D1" s="79"/>
      <c r="E1" s="168" t="s">
        <v>691</v>
      </c>
      <c r="F1" s="168"/>
      <c r="G1" s="168"/>
      <c r="H1" s="168"/>
      <c r="I1" s="168"/>
      <c r="J1" s="168"/>
    </row>
    <row r="2" spans="1:10" ht="60" customHeight="1" thickBot="1" x14ac:dyDescent="0.3">
      <c r="A2" s="174" t="s">
        <v>692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0" ht="99" customHeight="1" thickBot="1" x14ac:dyDescent="0.3">
      <c r="A3" s="169" t="s">
        <v>626</v>
      </c>
      <c r="B3" s="169" t="s">
        <v>627</v>
      </c>
      <c r="C3" s="169" t="s">
        <v>628</v>
      </c>
      <c r="D3" s="169" t="s">
        <v>734</v>
      </c>
      <c r="E3" s="171" t="s">
        <v>693</v>
      </c>
      <c r="F3" s="172"/>
      <c r="G3" s="172"/>
      <c r="H3" s="172"/>
      <c r="I3" s="172"/>
      <c r="J3" s="173"/>
    </row>
    <row r="4" spans="1:10" ht="29.25" thickBot="1" x14ac:dyDescent="0.3">
      <c r="A4" s="170"/>
      <c r="B4" s="170"/>
      <c r="C4" s="170"/>
      <c r="D4" s="170"/>
      <c r="E4" s="160" t="s">
        <v>9</v>
      </c>
      <c r="F4" s="160" t="s">
        <v>10</v>
      </c>
      <c r="G4" s="160" t="s">
        <v>11</v>
      </c>
      <c r="H4" s="160" t="s">
        <v>400</v>
      </c>
      <c r="I4" s="160" t="s">
        <v>401</v>
      </c>
      <c r="J4" s="160" t="s">
        <v>402</v>
      </c>
    </row>
    <row r="5" spans="1:10" ht="42.75" customHeight="1" thickBot="1" x14ac:dyDescent="0.3">
      <c r="A5" s="171" t="s">
        <v>629</v>
      </c>
      <c r="B5" s="172"/>
      <c r="C5" s="172"/>
      <c r="D5" s="172"/>
      <c r="E5" s="172"/>
      <c r="F5" s="172"/>
      <c r="G5" s="172"/>
      <c r="H5" s="172"/>
      <c r="I5" s="172"/>
      <c r="J5" s="173"/>
    </row>
    <row r="6" spans="1:10" ht="45.75" thickBot="1" x14ac:dyDescent="0.3">
      <c r="A6" s="188" t="s">
        <v>582</v>
      </c>
      <c r="B6" s="81" t="s">
        <v>583</v>
      </c>
      <c r="C6" s="82" t="s">
        <v>630</v>
      </c>
      <c r="D6" s="82">
        <v>1.4</v>
      </c>
      <c r="E6" s="82">
        <v>2.6</v>
      </c>
      <c r="F6" s="82">
        <v>0.4</v>
      </c>
      <c r="G6" s="132">
        <v>1.1000000000000001</v>
      </c>
      <c r="H6" s="82">
        <v>0</v>
      </c>
      <c r="I6" s="82">
        <v>0</v>
      </c>
      <c r="J6" s="82">
        <v>0</v>
      </c>
    </row>
    <row r="7" spans="1:10" ht="30.75" thickBot="1" x14ac:dyDescent="0.3">
      <c r="A7" s="189"/>
      <c r="B7" s="81" t="s">
        <v>584</v>
      </c>
      <c r="C7" s="82" t="s">
        <v>631</v>
      </c>
      <c r="D7" s="82">
        <v>22</v>
      </c>
      <c r="E7" s="82">
        <v>36</v>
      </c>
      <c r="F7" s="82">
        <v>5</v>
      </c>
      <c r="G7" s="82">
        <v>16</v>
      </c>
      <c r="H7" s="82">
        <v>0</v>
      </c>
      <c r="I7" s="82">
        <v>0</v>
      </c>
      <c r="J7" s="82">
        <v>0</v>
      </c>
    </row>
    <row r="8" spans="1:10" ht="60.75" customHeight="1" thickBot="1" x14ac:dyDescent="0.3">
      <c r="A8" s="100" t="s">
        <v>585</v>
      </c>
      <c r="B8" s="81" t="s">
        <v>586</v>
      </c>
      <c r="C8" s="82" t="s">
        <v>632</v>
      </c>
      <c r="D8" s="82">
        <v>14</v>
      </c>
      <c r="E8" s="82">
        <v>23</v>
      </c>
      <c r="F8" s="82">
        <v>15</v>
      </c>
      <c r="G8" s="82">
        <v>19</v>
      </c>
      <c r="H8" s="82">
        <v>0</v>
      </c>
      <c r="I8" s="82">
        <v>0</v>
      </c>
      <c r="J8" s="82">
        <v>0</v>
      </c>
    </row>
    <row r="9" spans="1:10" ht="90.75" thickBot="1" x14ac:dyDescent="0.3">
      <c r="A9" s="177" t="s">
        <v>866</v>
      </c>
      <c r="B9" s="81" t="s">
        <v>999</v>
      </c>
      <c r="C9" s="82" t="s">
        <v>632</v>
      </c>
      <c r="D9" s="82">
        <v>0</v>
      </c>
      <c r="E9" s="82">
        <v>0</v>
      </c>
      <c r="F9" s="82">
        <v>87</v>
      </c>
      <c r="G9" s="82">
        <v>5</v>
      </c>
      <c r="H9" s="82">
        <v>0</v>
      </c>
      <c r="I9" s="82">
        <v>0</v>
      </c>
      <c r="J9" s="82">
        <v>0</v>
      </c>
    </row>
    <row r="10" spans="1:10" ht="45.75" thickBot="1" x14ac:dyDescent="0.3">
      <c r="A10" s="179"/>
      <c r="B10" s="81" t="s">
        <v>747</v>
      </c>
      <c r="C10" s="82" t="s">
        <v>748</v>
      </c>
      <c r="D10" s="82">
        <v>0</v>
      </c>
      <c r="E10" s="82">
        <v>2</v>
      </c>
      <c r="F10" s="82">
        <v>4</v>
      </c>
      <c r="G10" s="82">
        <v>2</v>
      </c>
      <c r="H10" s="82">
        <v>0</v>
      </c>
      <c r="I10" s="82">
        <v>0</v>
      </c>
      <c r="J10" s="82">
        <v>0</v>
      </c>
    </row>
    <row r="11" spans="1:10" ht="45.75" thickBot="1" x14ac:dyDescent="0.3">
      <c r="A11" s="178"/>
      <c r="B11" s="81" t="s">
        <v>859</v>
      </c>
      <c r="C11" s="82" t="s">
        <v>748</v>
      </c>
      <c r="D11" s="82">
        <v>0</v>
      </c>
      <c r="E11" s="82">
        <v>0</v>
      </c>
      <c r="F11" s="82">
        <v>0</v>
      </c>
      <c r="G11" s="82">
        <v>1</v>
      </c>
      <c r="H11" s="82">
        <v>0</v>
      </c>
      <c r="I11" s="82">
        <v>0</v>
      </c>
      <c r="J11" s="82">
        <v>0</v>
      </c>
    </row>
    <row r="12" spans="1:10" ht="75.75" thickBot="1" x14ac:dyDescent="0.3">
      <c r="A12" s="177" t="s">
        <v>587</v>
      </c>
      <c r="B12" s="81" t="s">
        <v>588</v>
      </c>
      <c r="C12" s="82" t="s">
        <v>633</v>
      </c>
      <c r="D12" s="82">
        <v>3.15</v>
      </c>
      <c r="E12" s="82">
        <v>0.68</v>
      </c>
      <c r="F12" s="82">
        <v>0.8</v>
      </c>
      <c r="G12" s="82">
        <v>0.3</v>
      </c>
      <c r="H12" s="82">
        <v>0</v>
      </c>
      <c r="I12" s="82">
        <v>0</v>
      </c>
      <c r="J12" s="82">
        <v>0</v>
      </c>
    </row>
    <row r="13" spans="1:10" ht="30.75" thickBot="1" x14ac:dyDescent="0.3">
      <c r="A13" s="178"/>
      <c r="B13" s="133" t="s">
        <v>930</v>
      </c>
      <c r="C13" s="82" t="s">
        <v>748</v>
      </c>
      <c r="D13" s="82">
        <v>0</v>
      </c>
      <c r="E13" s="82">
        <v>0</v>
      </c>
      <c r="F13" s="82">
        <v>0</v>
      </c>
      <c r="G13" s="82">
        <v>6</v>
      </c>
      <c r="H13" s="82">
        <v>0</v>
      </c>
      <c r="I13" s="82">
        <v>0</v>
      </c>
      <c r="J13" s="82">
        <v>0</v>
      </c>
    </row>
    <row r="14" spans="1:10" ht="60.75" thickBot="1" x14ac:dyDescent="0.3">
      <c r="A14" s="177" t="s">
        <v>904</v>
      </c>
      <c r="B14" s="81" t="s">
        <v>634</v>
      </c>
      <c r="C14" s="82" t="s">
        <v>633</v>
      </c>
      <c r="D14" s="82">
        <v>0</v>
      </c>
      <c r="E14" s="82">
        <v>1.5</v>
      </c>
      <c r="F14" s="82">
        <v>0</v>
      </c>
      <c r="G14" s="82">
        <v>0</v>
      </c>
      <c r="H14" s="82">
        <v>0</v>
      </c>
      <c r="I14" s="82">
        <v>0</v>
      </c>
      <c r="J14" s="82">
        <v>0</v>
      </c>
    </row>
    <row r="15" spans="1:10" ht="45.75" thickBot="1" x14ac:dyDescent="0.3">
      <c r="A15" s="178"/>
      <c r="B15" s="81" t="s">
        <v>903</v>
      </c>
      <c r="C15" s="82" t="s">
        <v>748</v>
      </c>
      <c r="D15" s="82">
        <v>0</v>
      </c>
      <c r="E15" s="82">
        <v>0</v>
      </c>
      <c r="F15" s="82">
        <v>0</v>
      </c>
      <c r="G15" s="82">
        <v>1</v>
      </c>
      <c r="H15" s="82">
        <v>0</v>
      </c>
      <c r="I15" s="82">
        <v>0</v>
      </c>
      <c r="J15" s="82">
        <v>0</v>
      </c>
    </row>
    <row r="16" spans="1:10" ht="120.75" thickBot="1" x14ac:dyDescent="0.3">
      <c r="A16" s="164" t="s">
        <v>635</v>
      </c>
      <c r="B16" s="81" t="s">
        <v>636</v>
      </c>
      <c r="C16" s="82" t="s">
        <v>589</v>
      </c>
      <c r="D16" s="82">
        <v>0</v>
      </c>
      <c r="E16" s="82">
        <v>3</v>
      </c>
      <c r="F16" s="82">
        <v>15</v>
      </c>
      <c r="G16" s="82">
        <v>0</v>
      </c>
      <c r="H16" s="82">
        <v>0</v>
      </c>
      <c r="I16" s="82">
        <v>0</v>
      </c>
      <c r="J16" s="82">
        <v>0</v>
      </c>
    </row>
    <row r="17" spans="1:10" ht="28.5" customHeight="1" thickBot="1" x14ac:dyDescent="0.3">
      <c r="A17" s="171" t="s">
        <v>637</v>
      </c>
      <c r="B17" s="172"/>
      <c r="C17" s="172"/>
      <c r="D17" s="172"/>
      <c r="E17" s="172"/>
      <c r="F17" s="172"/>
      <c r="G17" s="172"/>
      <c r="H17" s="172"/>
      <c r="I17" s="172"/>
      <c r="J17" s="173"/>
    </row>
    <row r="18" spans="1:10" ht="60.75" thickBot="1" x14ac:dyDescent="0.3">
      <c r="A18" s="159" t="s">
        <v>638</v>
      </c>
      <c r="B18" s="83" t="s">
        <v>639</v>
      </c>
      <c r="C18" s="82" t="s">
        <v>632</v>
      </c>
      <c r="D18" s="82">
        <v>46</v>
      </c>
      <c r="E18" s="82">
        <v>46</v>
      </c>
      <c r="F18" s="82">
        <v>46</v>
      </c>
      <c r="G18" s="82">
        <v>46</v>
      </c>
      <c r="H18" s="82">
        <v>46</v>
      </c>
      <c r="I18" s="82">
        <v>46</v>
      </c>
      <c r="J18" s="82">
        <v>46</v>
      </c>
    </row>
    <row r="19" spans="1:10" ht="60.75" thickBot="1" x14ac:dyDescent="0.3">
      <c r="A19" s="159" t="s">
        <v>590</v>
      </c>
      <c r="B19" s="83" t="s">
        <v>640</v>
      </c>
      <c r="C19" s="82" t="s">
        <v>632</v>
      </c>
      <c r="D19" s="82">
        <v>3</v>
      </c>
      <c r="E19" s="82">
        <v>3</v>
      </c>
      <c r="F19" s="82">
        <v>3</v>
      </c>
      <c r="G19" s="82">
        <v>3</v>
      </c>
      <c r="H19" s="82">
        <v>3</v>
      </c>
      <c r="I19" s="82">
        <v>3</v>
      </c>
      <c r="J19" s="82">
        <v>3</v>
      </c>
    </row>
    <row r="20" spans="1:10" ht="120.75" thickBot="1" x14ac:dyDescent="0.3">
      <c r="A20" s="159" t="s">
        <v>591</v>
      </c>
      <c r="B20" s="83" t="s">
        <v>641</v>
      </c>
      <c r="C20" s="82" t="s">
        <v>632</v>
      </c>
      <c r="D20" s="82">
        <v>34</v>
      </c>
      <c r="E20" s="82">
        <v>46</v>
      </c>
      <c r="F20" s="82">
        <v>53</v>
      </c>
      <c r="G20" s="82">
        <v>52</v>
      </c>
      <c r="H20" s="82">
        <v>54</v>
      </c>
      <c r="I20" s="82">
        <v>50</v>
      </c>
      <c r="J20" s="82">
        <v>50</v>
      </c>
    </row>
    <row r="21" spans="1:10" ht="60.75" thickBot="1" x14ac:dyDescent="0.3">
      <c r="A21" s="159" t="s">
        <v>1040</v>
      </c>
      <c r="B21" s="83" t="s">
        <v>1039</v>
      </c>
      <c r="C21" s="82" t="s">
        <v>632</v>
      </c>
      <c r="D21" s="82">
        <v>1</v>
      </c>
      <c r="E21" s="82">
        <v>1</v>
      </c>
      <c r="F21" s="82">
        <v>0</v>
      </c>
      <c r="G21" s="82">
        <v>2</v>
      </c>
      <c r="H21" s="82">
        <v>1</v>
      </c>
      <c r="I21" s="82">
        <v>0</v>
      </c>
      <c r="J21" s="82">
        <v>0</v>
      </c>
    </row>
    <row r="22" spans="1:10" ht="60.75" thickBot="1" x14ac:dyDescent="0.3">
      <c r="A22" s="159" t="s">
        <v>592</v>
      </c>
      <c r="B22" s="83" t="s">
        <v>593</v>
      </c>
      <c r="C22" s="82" t="s">
        <v>594</v>
      </c>
      <c r="D22" s="82">
        <v>0</v>
      </c>
      <c r="E22" s="82">
        <v>100</v>
      </c>
      <c r="F22" s="82">
        <v>100</v>
      </c>
      <c r="G22" s="82">
        <v>0</v>
      </c>
      <c r="H22" s="82">
        <v>0</v>
      </c>
      <c r="I22" s="82">
        <v>100</v>
      </c>
      <c r="J22" s="82">
        <v>0</v>
      </c>
    </row>
    <row r="23" spans="1:10" ht="45.75" thickBot="1" x14ac:dyDescent="0.3">
      <c r="A23" s="177" t="s">
        <v>962</v>
      </c>
      <c r="B23" s="83" t="s">
        <v>907</v>
      </c>
      <c r="C23" s="82" t="s">
        <v>602</v>
      </c>
      <c r="D23" s="82">
        <v>0</v>
      </c>
      <c r="E23" s="82">
        <v>4</v>
      </c>
      <c r="F23" s="82">
        <v>1</v>
      </c>
      <c r="G23" s="82">
        <v>2</v>
      </c>
      <c r="H23" s="82">
        <v>5</v>
      </c>
      <c r="I23" s="82">
        <v>2</v>
      </c>
      <c r="J23" s="82">
        <v>0</v>
      </c>
    </row>
    <row r="24" spans="1:10" ht="45.75" thickBot="1" x14ac:dyDescent="0.3">
      <c r="A24" s="178"/>
      <c r="B24" s="83" t="s">
        <v>961</v>
      </c>
      <c r="C24" s="82" t="s">
        <v>748</v>
      </c>
      <c r="D24" s="82">
        <v>0</v>
      </c>
      <c r="E24" s="82">
        <v>0</v>
      </c>
      <c r="F24" s="82">
        <v>0</v>
      </c>
      <c r="G24" s="82">
        <v>1</v>
      </c>
      <c r="H24" s="82">
        <v>0</v>
      </c>
      <c r="I24" s="82">
        <v>0</v>
      </c>
      <c r="J24" s="82">
        <v>0</v>
      </c>
    </row>
    <row r="25" spans="1:10" ht="75.75" thickBot="1" x14ac:dyDescent="0.3">
      <c r="A25" s="162" t="s">
        <v>642</v>
      </c>
      <c r="B25" s="83" t="s">
        <v>643</v>
      </c>
      <c r="C25" s="82" t="s">
        <v>594</v>
      </c>
      <c r="D25" s="82">
        <v>72</v>
      </c>
      <c r="E25" s="82">
        <v>46.3</v>
      </c>
      <c r="F25" s="82">
        <v>46.3</v>
      </c>
      <c r="G25" s="82">
        <v>46.3</v>
      </c>
      <c r="H25" s="82">
        <v>46.3</v>
      </c>
      <c r="I25" s="82">
        <v>46.3</v>
      </c>
      <c r="J25" s="82">
        <v>46.3</v>
      </c>
    </row>
    <row r="26" spans="1:10" ht="45.75" thickBot="1" x14ac:dyDescent="0.3">
      <c r="A26" s="177" t="s">
        <v>946</v>
      </c>
      <c r="B26" s="83" t="s">
        <v>947</v>
      </c>
      <c r="C26" s="82" t="s">
        <v>748</v>
      </c>
      <c r="D26" s="82">
        <v>0</v>
      </c>
      <c r="E26" s="82">
        <v>0</v>
      </c>
      <c r="F26" s="82">
        <v>0</v>
      </c>
      <c r="G26" s="82">
        <v>1</v>
      </c>
      <c r="H26" s="82">
        <v>0</v>
      </c>
      <c r="I26" s="82">
        <v>0</v>
      </c>
      <c r="J26" s="82">
        <v>0</v>
      </c>
    </row>
    <row r="27" spans="1:10" ht="30.75" thickBot="1" x14ac:dyDescent="0.3">
      <c r="A27" s="179"/>
      <c r="B27" s="83" t="s">
        <v>1065</v>
      </c>
      <c r="C27" s="82" t="s">
        <v>748</v>
      </c>
      <c r="D27" s="82">
        <v>0</v>
      </c>
      <c r="E27" s="82">
        <v>0</v>
      </c>
      <c r="F27" s="82">
        <v>0</v>
      </c>
      <c r="G27" s="82">
        <v>0</v>
      </c>
      <c r="H27" s="82">
        <v>1</v>
      </c>
      <c r="I27" s="82">
        <v>0</v>
      </c>
      <c r="J27" s="82">
        <v>0</v>
      </c>
    </row>
    <row r="28" spans="1:10" ht="30.75" thickBot="1" x14ac:dyDescent="0.3">
      <c r="A28" s="178"/>
      <c r="B28" s="83" t="s">
        <v>1169</v>
      </c>
      <c r="C28" s="82" t="s">
        <v>748</v>
      </c>
      <c r="D28" s="82">
        <v>0</v>
      </c>
      <c r="E28" s="82">
        <v>0</v>
      </c>
      <c r="F28" s="82">
        <v>0</v>
      </c>
      <c r="G28" s="82">
        <v>0</v>
      </c>
      <c r="H28" s="82">
        <v>0</v>
      </c>
      <c r="I28" s="82">
        <v>1</v>
      </c>
      <c r="J28" s="82">
        <v>0</v>
      </c>
    </row>
    <row r="29" spans="1:10" ht="75.75" customHeight="1" thickBot="1" x14ac:dyDescent="0.3">
      <c r="A29" s="179" t="s">
        <v>817</v>
      </c>
      <c r="B29" s="83" t="s">
        <v>644</v>
      </c>
      <c r="C29" s="82" t="s">
        <v>602</v>
      </c>
      <c r="D29" s="82">
        <v>7</v>
      </c>
      <c r="E29" s="82">
        <v>3</v>
      </c>
      <c r="F29" s="82">
        <v>0</v>
      </c>
      <c r="G29" s="82">
        <v>4</v>
      </c>
      <c r="H29" s="82">
        <v>2</v>
      </c>
      <c r="I29" s="82">
        <v>0</v>
      </c>
      <c r="J29" s="82">
        <v>0</v>
      </c>
    </row>
    <row r="30" spans="1:10" s="98" customFormat="1" ht="29.25" hidden="1" customHeight="1" thickBot="1" x14ac:dyDescent="0.3">
      <c r="A30" s="179"/>
      <c r="B30" s="96" t="s">
        <v>645</v>
      </c>
      <c r="C30" s="97" t="s">
        <v>632</v>
      </c>
      <c r="D30" s="97">
        <v>0</v>
      </c>
      <c r="E30" s="97">
        <v>0</v>
      </c>
      <c r="F30" s="97">
        <v>0</v>
      </c>
      <c r="G30" s="97">
        <v>0</v>
      </c>
      <c r="H30" s="97">
        <v>0</v>
      </c>
      <c r="I30" s="97">
        <v>0</v>
      </c>
      <c r="J30" s="97">
        <v>0</v>
      </c>
    </row>
    <row r="31" spans="1:10" s="98" customFormat="1" ht="45.75" thickBot="1" x14ac:dyDescent="0.3">
      <c r="A31" s="178"/>
      <c r="B31" s="83" t="s">
        <v>865</v>
      </c>
      <c r="C31" s="82" t="s">
        <v>602</v>
      </c>
      <c r="D31" s="82">
        <v>0</v>
      </c>
      <c r="E31" s="82">
        <v>0</v>
      </c>
      <c r="F31" s="82">
        <v>0</v>
      </c>
      <c r="G31" s="82">
        <v>0</v>
      </c>
      <c r="H31" s="82">
        <v>0</v>
      </c>
      <c r="I31" s="82">
        <v>1</v>
      </c>
      <c r="J31" s="82">
        <v>0</v>
      </c>
    </row>
    <row r="32" spans="1:10" ht="75.75" thickBot="1" x14ac:dyDescent="0.3">
      <c r="A32" s="164" t="s">
        <v>595</v>
      </c>
      <c r="B32" s="83" t="s">
        <v>596</v>
      </c>
      <c r="C32" s="82" t="s">
        <v>594</v>
      </c>
      <c r="D32" s="82">
        <v>0</v>
      </c>
      <c r="E32" s="82">
        <v>22.2</v>
      </c>
      <c r="F32" s="82">
        <v>0</v>
      </c>
      <c r="G32" s="82">
        <v>0</v>
      </c>
      <c r="H32" s="82">
        <v>0</v>
      </c>
      <c r="I32" s="82">
        <v>0</v>
      </c>
      <c r="J32" s="82">
        <v>0</v>
      </c>
    </row>
    <row r="33" spans="1:10" ht="75.75" thickBot="1" x14ac:dyDescent="0.3">
      <c r="A33" s="158" t="s">
        <v>815</v>
      </c>
      <c r="B33" s="84" t="s">
        <v>597</v>
      </c>
      <c r="C33" s="85" t="s">
        <v>646</v>
      </c>
      <c r="D33" s="94">
        <v>0</v>
      </c>
      <c r="E33" s="91">
        <v>1.5</v>
      </c>
      <c r="F33" s="91">
        <v>0</v>
      </c>
      <c r="G33" s="91">
        <v>0.03</v>
      </c>
      <c r="H33" s="91">
        <v>0</v>
      </c>
      <c r="I33" s="91">
        <v>0</v>
      </c>
      <c r="J33" s="91">
        <v>0</v>
      </c>
    </row>
    <row r="34" spans="1:10" ht="60.75" thickBot="1" x14ac:dyDescent="0.3">
      <c r="A34" s="89" t="s">
        <v>758</v>
      </c>
      <c r="B34" s="101" t="s">
        <v>757</v>
      </c>
      <c r="C34" s="94" t="s">
        <v>756</v>
      </c>
      <c r="D34" s="94">
        <v>0</v>
      </c>
      <c r="E34" s="94">
        <v>0</v>
      </c>
      <c r="F34" s="94">
        <v>0</v>
      </c>
      <c r="G34" s="94">
        <v>14696</v>
      </c>
      <c r="H34" s="94">
        <v>3674</v>
      </c>
      <c r="I34" s="94">
        <v>3674</v>
      </c>
      <c r="J34" s="94">
        <v>3674</v>
      </c>
    </row>
    <row r="35" spans="1:10" ht="28.5" customHeight="1" thickBot="1" x14ac:dyDescent="0.3">
      <c r="A35" s="180" t="s">
        <v>647</v>
      </c>
      <c r="B35" s="174"/>
      <c r="C35" s="174"/>
      <c r="D35" s="174"/>
      <c r="E35" s="174"/>
      <c r="F35" s="174"/>
      <c r="G35" s="174"/>
      <c r="H35" s="174"/>
      <c r="I35" s="174"/>
      <c r="J35" s="181"/>
    </row>
    <row r="36" spans="1:10" ht="30.75" thickBot="1" x14ac:dyDescent="0.3">
      <c r="A36" s="177" t="s">
        <v>648</v>
      </c>
      <c r="B36" s="83" t="s">
        <v>598</v>
      </c>
      <c r="C36" s="82" t="s">
        <v>649</v>
      </c>
      <c r="D36" s="82">
        <v>243</v>
      </c>
      <c r="E36" s="82">
        <v>308</v>
      </c>
      <c r="F36" s="82">
        <v>308</v>
      </c>
      <c r="G36" s="82">
        <v>251</v>
      </c>
      <c r="H36" s="82">
        <v>233</v>
      </c>
      <c r="I36" s="82">
        <v>85</v>
      </c>
      <c r="J36" s="82">
        <v>0</v>
      </c>
    </row>
    <row r="37" spans="1:10" ht="120.75" thickBot="1" x14ac:dyDescent="0.3">
      <c r="A37" s="179"/>
      <c r="B37" s="81" t="s">
        <v>650</v>
      </c>
      <c r="C37" s="82" t="s">
        <v>594</v>
      </c>
      <c r="D37" s="82">
        <v>0</v>
      </c>
      <c r="E37" s="82">
        <v>44</v>
      </c>
      <c r="F37" s="82">
        <v>44</v>
      </c>
      <c r="G37" s="82">
        <v>70</v>
      </c>
      <c r="H37" s="82">
        <v>50</v>
      </c>
      <c r="I37" s="82">
        <v>0</v>
      </c>
      <c r="J37" s="82">
        <v>0</v>
      </c>
    </row>
    <row r="38" spans="1:10" ht="120.75" thickBot="1" x14ac:dyDescent="0.3">
      <c r="A38" s="178"/>
      <c r="B38" s="81" t="s">
        <v>651</v>
      </c>
      <c r="C38" s="82" t="s">
        <v>594</v>
      </c>
      <c r="D38" s="82">
        <v>0</v>
      </c>
      <c r="E38" s="82">
        <v>57</v>
      </c>
      <c r="F38" s="82">
        <v>57</v>
      </c>
      <c r="G38" s="82">
        <v>70</v>
      </c>
      <c r="H38" s="82">
        <v>50</v>
      </c>
      <c r="I38" s="82">
        <v>0</v>
      </c>
      <c r="J38" s="82">
        <v>0</v>
      </c>
    </row>
    <row r="39" spans="1:10" ht="45.75" thickBot="1" x14ac:dyDescent="0.3">
      <c r="A39" s="164" t="s">
        <v>599</v>
      </c>
      <c r="B39" s="83" t="s">
        <v>600</v>
      </c>
      <c r="C39" s="82" t="s">
        <v>632</v>
      </c>
      <c r="D39" s="82">
        <v>1</v>
      </c>
      <c r="E39" s="82">
        <v>0</v>
      </c>
      <c r="F39" s="82">
        <v>0</v>
      </c>
      <c r="G39" s="82">
        <v>2</v>
      </c>
      <c r="H39" s="82">
        <v>0</v>
      </c>
      <c r="I39" s="82">
        <v>0</v>
      </c>
      <c r="J39" s="82">
        <v>0</v>
      </c>
    </row>
    <row r="40" spans="1:10" ht="30.75" thickBot="1" x14ac:dyDescent="0.3">
      <c r="A40" s="164" t="s">
        <v>601</v>
      </c>
      <c r="B40" s="83" t="s">
        <v>652</v>
      </c>
      <c r="C40" s="82" t="s">
        <v>632</v>
      </c>
      <c r="D40" s="82">
        <v>0</v>
      </c>
      <c r="E40" s="82">
        <v>0</v>
      </c>
      <c r="F40" s="82">
        <v>0</v>
      </c>
      <c r="G40" s="82">
        <v>1</v>
      </c>
      <c r="H40" s="82">
        <v>0</v>
      </c>
      <c r="I40" s="82">
        <v>1</v>
      </c>
      <c r="J40" s="82">
        <v>0</v>
      </c>
    </row>
    <row r="41" spans="1:10" ht="45.75" thickBot="1" x14ac:dyDescent="0.3">
      <c r="A41" s="177" t="s">
        <v>653</v>
      </c>
      <c r="B41" s="83" t="s">
        <v>654</v>
      </c>
      <c r="C41" s="82" t="s">
        <v>594</v>
      </c>
      <c r="D41" s="82">
        <v>0</v>
      </c>
      <c r="E41" s="82">
        <v>53</v>
      </c>
      <c r="F41" s="82">
        <v>62.4</v>
      </c>
      <c r="G41" s="82">
        <v>75.599999999999994</v>
      </c>
      <c r="H41" s="82">
        <v>74.8</v>
      </c>
      <c r="I41" s="82">
        <v>76.400000000000006</v>
      </c>
      <c r="J41" s="82">
        <v>78.400000000000006</v>
      </c>
    </row>
    <row r="42" spans="1:10" ht="60.75" thickBot="1" x14ac:dyDescent="0.3">
      <c r="A42" s="178"/>
      <c r="B42" s="89" t="s">
        <v>1117</v>
      </c>
      <c r="C42" s="94" t="s">
        <v>589</v>
      </c>
      <c r="D42" s="94">
        <v>0</v>
      </c>
      <c r="E42" s="94">
        <v>0</v>
      </c>
      <c r="F42" s="94">
        <v>0</v>
      </c>
      <c r="G42" s="94">
        <v>0</v>
      </c>
      <c r="H42" s="94">
        <v>1</v>
      </c>
      <c r="I42" s="94">
        <v>0</v>
      </c>
      <c r="J42" s="94">
        <v>0</v>
      </c>
    </row>
    <row r="43" spans="1:10" ht="28.5" customHeight="1" thickBot="1" x14ac:dyDescent="0.3">
      <c r="A43" s="171" t="s">
        <v>655</v>
      </c>
      <c r="B43" s="172"/>
      <c r="C43" s="172"/>
      <c r="D43" s="172"/>
      <c r="E43" s="172"/>
      <c r="F43" s="172"/>
      <c r="G43" s="172"/>
      <c r="H43" s="172"/>
      <c r="I43" s="172"/>
      <c r="J43" s="173"/>
    </row>
    <row r="44" spans="1:10" ht="60.75" thickBot="1" x14ac:dyDescent="0.3">
      <c r="A44" s="182" t="s">
        <v>656</v>
      </c>
      <c r="B44" s="84" t="s">
        <v>819</v>
      </c>
      <c r="C44" s="85" t="s">
        <v>646</v>
      </c>
      <c r="D44" s="85">
        <v>16.100000000000001</v>
      </c>
      <c r="E44" s="85">
        <v>18.8</v>
      </c>
      <c r="F44" s="85">
        <v>33.5</v>
      </c>
      <c r="G44" s="85">
        <v>4.5</v>
      </c>
      <c r="H44" s="85">
        <v>0</v>
      </c>
      <c r="I44" s="85">
        <v>0</v>
      </c>
      <c r="J44" s="85">
        <v>0</v>
      </c>
    </row>
    <row r="45" spans="1:10" ht="75.75" thickBot="1" x14ac:dyDescent="0.3">
      <c r="A45" s="183"/>
      <c r="B45" s="86" t="s">
        <v>657</v>
      </c>
      <c r="C45" s="87" t="s">
        <v>602</v>
      </c>
      <c r="D45" s="87">
        <v>0</v>
      </c>
      <c r="E45" s="87">
        <v>1</v>
      </c>
      <c r="F45" s="87">
        <v>0</v>
      </c>
      <c r="G45" s="87">
        <v>0</v>
      </c>
      <c r="H45" s="87">
        <v>0</v>
      </c>
      <c r="I45" s="87">
        <v>0</v>
      </c>
      <c r="J45" s="87">
        <v>0</v>
      </c>
    </row>
    <row r="46" spans="1:10" ht="60.75" thickBot="1" x14ac:dyDescent="0.3">
      <c r="A46" s="183"/>
      <c r="B46" s="86" t="s">
        <v>948</v>
      </c>
      <c r="C46" s="87" t="s">
        <v>658</v>
      </c>
      <c r="D46" s="87">
        <v>3</v>
      </c>
      <c r="E46" s="87">
        <v>2</v>
      </c>
      <c r="F46" s="87">
        <v>4</v>
      </c>
      <c r="G46" s="87">
        <v>2</v>
      </c>
      <c r="H46" s="87">
        <v>0</v>
      </c>
      <c r="I46" s="87">
        <v>0</v>
      </c>
      <c r="J46" s="87">
        <v>0</v>
      </c>
    </row>
    <row r="47" spans="1:10" ht="60.75" thickBot="1" x14ac:dyDescent="0.3">
      <c r="A47" s="183"/>
      <c r="B47" s="86" t="s">
        <v>1071</v>
      </c>
      <c r="C47" s="87" t="s">
        <v>658</v>
      </c>
      <c r="D47" s="87">
        <v>0</v>
      </c>
      <c r="E47" s="87">
        <v>0</v>
      </c>
      <c r="F47" s="87">
        <v>0</v>
      </c>
      <c r="G47" s="87">
        <v>0</v>
      </c>
      <c r="H47" s="87">
        <v>0</v>
      </c>
      <c r="I47" s="87">
        <v>5</v>
      </c>
      <c r="J47" s="87">
        <v>0</v>
      </c>
    </row>
    <row r="48" spans="1:10" ht="30.75" thickBot="1" x14ac:dyDescent="0.3">
      <c r="A48" s="183"/>
      <c r="B48" s="86" t="s">
        <v>603</v>
      </c>
      <c r="C48" s="87" t="s">
        <v>602</v>
      </c>
      <c r="D48" s="87">
        <v>0</v>
      </c>
      <c r="E48" s="87">
        <v>0</v>
      </c>
      <c r="F48" s="87">
        <v>1</v>
      </c>
      <c r="G48" s="87">
        <v>1</v>
      </c>
      <c r="H48" s="87">
        <v>1</v>
      </c>
      <c r="I48" s="87">
        <v>0</v>
      </c>
      <c r="J48" s="87">
        <v>0</v>
      </c>
    </row>
    <row r="49" spans="1:10" ht="45.75" thickBot="1" x14ac:dyDescent="0.3">
      <c r="A49" s="183"/>
      <c r="B49" s="86" t="s">
        <v>659</v>
      </c>
      <c r="C49" s="87" t="s">
        <v>602</v>
      </c>
      <c r="D49" s="87">
        <v>0</v>
      </c>
      <c r="E49" s="87">
        <v>1</v>
      </c>
      <c r="F49" s="87">
        <v>0</v>
      </c>
      <c r="G49" s="87">
        <v>0</v>
      </c>
      <c r="H49" s="87">
        <v>0</v>
      </c>
      <c r="I49" s="87">
        <v>1</v>
      </c>
      <c r="J49" s="87">
        <v>0</v>
      </c>
    </row>
    <row r="50" spans="1:10" ht="45.75" thickBot="1" x14ac:dyDescent="0.3">
      <c r="A50" s="183"/>
      <c r="B50" s="86" t="s">
        <v>604</v>
      </c>
      <c r="C50" s="87" t="s">
        <v>646</v>
      </c>
      <c r="D50" s="87">
        <v>0</v>
      </c>
      <c r="E50" s="87">
        <v>1.8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</row>
    <row r="51" spans="1:10" ht="60.75" thickBot="1" x14ac:dyDescent="0.3">
      <c r="A51" s="183"/>
      <c r="B51" s="86" t="s">
        <v>660</v>
      </c>
      <c r="C51" s="87" t="s">
        <v>589</v>
      </c>
      <c r="D51" s="87">
        <v>0</v>
      </c>
      <c r="E51" s="87">
        <v>80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</row>
    <row r="52" spans="1:10" ht="45.75" thickBot="1" x14ac:dyDescent="0.3">
      <c r="A52" s="183"/>
      <c r="B52" s="86" t="s">
        <v>605</v>
      </c>
      <c r="C52" s="87" t="s">
        <v>589</v>
      </c>
      <c r="D52" s="87">
        <v>0</v>
      </c>
      <c r="E52" s="87">
        <v>6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</row>
    <row r="53" spans="1:10" ht="90.75" thickBot="1" x14ac:dyDescent="0.3">
      <c r="A53" s="183"/>
      <c r="B53" s="86" t="s">
        <v>661</v>
      </c>
      <c r="C53" s="87" t="s">
        <v>594</v>
      </c>
      <c r="D53" s="87">
        <v>0</v>
      </c>
      <c r="E53" s="87">
        <v>100</v>
      </c>
      <c r="F53" s="87">
        <v>100</v>
      </c>
      <c r="G53" s="87">
        <v>100</v>
      </c>
      <c r="H53" s="87">
        <v>100</v>
      </c>
      <c r="I53" s="87">
        <v>100</v>
      </c>
      <c r="J53" s="87">
        <v>100</v>
      </c>
    </row>
    <row r="54" spans="1:10" ht="60.75" thickBot="1" x14ac:dyDescent="0.3">
      <c r="A54" s="177" t="s">
        <v>662</v>
      </c>
      <c r="B54" s="86" t="s">
        <v>606</v>
      </c>
      <c r="C54" s="87" t="s">
        <v>589</v>
      </c>
      <c r="D54" s="87">
        <v>0</v>
      </c>
      <c r="E54" s="87">
        <v>5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</row>
    <row r="55" spans="1:10" ht="45.75" thickBot="1" x14ac:dyDescent="0.3">
      <c r="A55" s="179"/>
      <c r="B55" s="86" t="s">
        <v>607</v>
      </c>
      <c r="C55" s="87" t="s">
        <v>589</v>
      </c>
      <c r="D55" s="87">
        <v>0</v>
      </c>
      <c r="E55" s="87">
        <v>60</v>
      </c>
      <c r="F55" s="87">
        <v>0</v>
      </c>
      <c r="G55" s="87">
        <v>0</v>
      </c>
      <c r="H55" s="87">
        <v>11</v>
      </c>
      <c r="I55" s="87">
        <v>0</v>
      </c>
      <c r="J55" s="87">
        <v>0</v>
      </c>
    </row>
    <row r="56" spans="1:10" ht="30.75" thickBot="1" x14ac:dyDescent="0.3">
      <c r="A56" s="179"/>
      <c r="B56" s="86" t="s">
        <v>663</v>
      </c>
      <c r="C56" s="87" t="s">
        <v>589</v>
      </c>
      <c r="D56" s="87">
        <v>0</v>
      </c>
      <c r="E56" s="87">
        <v>20</v>
      </c>
      <c r="F56" s="87">
        <v>0</v>
      </c>
      <c r="G56" s="87">
        <v>0</v>
      </c>
      <c r="H56" s="87">
        <v>3</v>
      </c>
      <c r="I56" s="87">
        <v>0</v>
      </c>
      <c r="J56" s="87">
        <v>0</v>
      </c>
    </row>
    <row r="57" spans="1:10" ht="45.75" thickBot="1" x14ac:dyDescent="0.3">
      <c r="A57" s="179"/>
      <c r="B57" s="89" t="s">
        <v>759</v>
      </c>
      <c r="C57" s="94" t="s">
        <v>589</v>
      </c>
      <c r="D57" s="94">
        <v>0</v>
      </c>
      <c r="E57" s="94">
        <v>0</v>
      </c>
      <c r="F57" s="94">
        <v>4</v>
      </c>
      <c r="G57" s="94">
        <v>1</v>
      </c>
      <c r="H57" s="94">
        <v>1</v>
      </c>
      <c r="I57" s="94">
        <v>0</v>
      </c>
      <c r="J57" s="94">
        <v>0</v>
      </c>
    </row>
    <row r="58" spans="1:10" ht="45.75" thickBot="1" x14ac:dyDescent="0.3">
      <c r="A58" s="179"/>
      <c r="B58" s="89" t="s">
        <v>1006</v>
      </c>
      <c r="C58" s="94" t="s">
        <v>589</v>
      </c>
      <c r="D58" s="94">
        <v>0</v>
      </c>
      <c r="E58" s="94">
        <v>0</v>
      </c>
      <c r="F58" s="94">
        <v>0</v>
      </c>
      <c r="G58" s="94">
        <v>1</v>
      </c>
      <c r="H58" s="94">
        <v>0</v>
      </c>
      <c r="I58" s="94">
        <v>0</v>
      </c>
      <c r="J58" s="94">
        <v>0</v>
      </c>
    </row>
    <row r="59" spans="1:10" ht="30.75" thickBot="1" x14ac:dyDescent="0.3">
      <c r="A59" s="179"/>
      <c r="B59" s="89" t="s">
        <v>1087</v>
      </c>
      <c r="C59" s="94" t="s">
        <v>589</v>
      </c>
      <c r="D59" s="94">
        <v>0</v>
      </c>
      <c r="E59" s="94">
        <v>0</v>
      </c>
      <c r="F59" s="94">
        <v>0</v>
      </c>
      <c r="G59" s="94">
        <v>0</v>
      </c>
      <c r="H59" s="94">
        <v>1</v>
      </c>
      <c r="I59" s="94">
        <v>0</v>
      </c>
      <c r="J59" s="94">
        <v>0</v>
      </c>
    </row>
    <row r="60" spans="1:10" ht="30.75" thickBot="1" x14ac:dyDescent="0.3">
      <c r="A60" s="179"/>
      <c r="B60" s="89" t="s">
        <v>1088</v>
      </c>
      <c r="C60" s="94" t="s">
        <v>589</v>
      </c>
      <c r="D60" s="94">
        <v>0</v>
      </c>
      <c r="E60" s="94">
        <v>0</v>
      </c>
      <c r="F60" s="94">
        <v>0</v>
      </c>
      <c r="G60" s="94">
        <v>0</v>
      </c>
      <c r="H60" s="94">
        <v>1</v>
      </c>
      <c r="I60" s="94">
        <v>0</v>
      </c>
      <c r="J60" s="94">
        <v>0</v>
      </c>
    </row>
    <row r="61" spans="1:10" ht="45.75" thickBot="1" x14ac:dyDescent="0.3">
      <c r="A61" s="179"/>
      <c r="B61" s="89" t="s">
        <v>760</v>
      </c>
      <c r="C61" s="94" t="s">
        <v>589</v>
      </c>
      <c r="D61" s="94">
        <v>0</v>
      </c>
      <c r="E61" s="94">
        <v>0</v>
      </c>
      <c r="F61" s="94">
        <v>199</v>
      </c>
      <c r="G61" s="94">
        <v>0</v>
      </c>
      <c r="H61" s="94">
        <v>0</v>
      </c>
      <c r="I61" s="94">
        <v>0</v>
      </c>
      <c r="J61" s="94">
        <v>0</v>
      </c>
    </row>
    <row r="62" spans="1:10" ht="30.75" thickBot="1" x14ac:dyDescent="0.3">
      <c r="A62" s="179"/>
      <c r="B62" s="89" t="s">
        <v>998</v>
      </c>
      <c r="C62" s="94" t="s">
        <v>589</v>
      </c>
      <c r="D62" s="94">
        <v>0</v>
      </c>
      <c r="E62" s="94">
        <v>0</v>
      </c>
      <c r="F62" s="94">
        <v>0</v>
      </c>
      <c r="G62" s="94">
        <v>6</v>
      </c>
      <c r="H62" s="94">
        <v>11</v>
      </c>
      <c r="I62" s="94">
        <v>0</v>
      </c>
      <c r="J62" s="94">
        <v>0</v>
      </c>
    </row>
    <row r="63" spans="1:10" ht="60.75" thickBot="1" x14ac:dyDescent="0.3">
      <c r="A63" s="178"/>
      <c r="B63" s="89" t="s">
        <v>997</v>
      </c>
      <c r="C63" s="94" t="s">
        <v>589</v>
      </c>
      <c r="D63" s="94">
        <v>0</v>
      </c>
      <c r="E63" s="94">
        <v>0</v>
      </c>
      <c r="F63" s="94">
        <v>0</v>
      </c>
      <c r="G63" s="94">
        <v>14</v>
      </c>
      <c r="H63" s="94">
        <v>0</v>
      </c>
      <c r="I63" s="94">
        <v>0</v>
      </c>
      <c r="J63" s="94">
        <v>0</v>
      </c>
    </row>
    <row r="64" spans="1:10" ht="28.5" customHeight="1" thickBot="1" x14ac:dyDescent="0.3">
      <c r="A64" s="171" t="s">
        <v>664</v>
      </c>
      <c r="B64" s="172"/>
      <c r="C64" s="172"/>
      <c r="D64" s="172"/>
      <c r="E64" s="172"/>
      <c r="F64" s="172"/>
      <c r="G64" s="172"/>
      <c r="H64" s="172"/>
      <c r="I64" s="172"/>
      <c r="J64" s="173"/>
    </row>
    <row r="65" spans="1:10" ht="30.75" customHeight="1" thickBot="1" x14ac:dyDescent="0.3">
      <c r="A65" s="177" t="s">
        <v>665</v>
      </c>
      <c r="B65" s="83" t="s">
        <v>666</v>
      </c>
      <c r="C65" s="82" t="s">
        <v>602</v>
      </c>
      <c r="D65" s="82">
        <v>0</v>
      </c>
      <c r="E65" s="82">
        <v>3</v>
      </c>
      <c r="F65" s="82">
        <v>0</v>
      </c>
      <c r="G65" s="82">
        <v>0</v>
      </c>
      <c r="H65" s="82">
        <v>0</v>
      </c>
      <c r="I65" s="82">
        <v>0</v>
      </c>
      <c r="J65" s="82">
        <v>0</v>
      </c>
    </row>
    <row r="66" spans="1:10" ht="30.75" thickBot="1" x14ac:dyDescent="0.3">
      <c r="A66" s="179"/>
      <c r="B66" s="83" t="s">
        <v>667</v>
      </c>
      <c r="C66" s="82" t="s">
        <v>608</v>
      </c>
      <c r="D66" s="82">
        <v>0</v>
      </c>
      <c r="E66" s="82">
        <v>510</v>
      </c>
      <c r="F66" s="82">
        <v>0</v>
      </c>
      <c r="G66" s="82">
        <v>0</v>
      </c>
      <c r="H66" s="82">
        <v>0</v>
      </c>
      <c r="I66" s="82">
        <v>0</v>
      </c>
      <c r="J66" s="82">
        <v>0</v>
      </c>
    </row>
    <row r="67" spans="1:10" ht="75.75" thickBot="1" x14ac:dyDescent="0.3">
      <c r="A67" s="179"/>
      <c r="B67" s="83" t="s">
        <v>668</v>
      </c>
      <c r="C67" s="82" t="s">
        <v>602</v>
      </c>
      <c r="D67" s="82">
        <v>0</v>
      </c>
      <c r="E67" s="82">
        <v>0</v>
      </c>
      <c r="F67" s="82">
        <v>2</v>
      </c>
      <c r="G67" s="82">
        <v>2</v>
      </c>
      <c r="H67" s="82">
        <v>0</v>
      </c>
      <c r="I67" s="82">
        <v>0</v>
      </c>
      <c r="J67" s="82">
        <v>0</v>
      </c>
    </row>
    <row r="68" spans="1:10" ht="45.75" thickBot="1" x14ac:dyDescent="0.3">
      <c r="A68" s="179"/>
      <c r="B68" s="83" t="s">
        <v>609</v>
      </c>
      <c r="C68" s="82" t="s">
        <v>658</v>
      </c>
      <c r="D68" s="82">
        <v>0</v>
      </c>
      <c r="E68" s="82">
        <v>1</v>
      </c>
      <c r="F68" s="82">
        <v>0</v>
      </c>
      <c r="G68" s="82">
        <v>0</v>
      </c>
      <c r="H68" s="85">
        <v>0</v>
      </c>
      <c r="I68" s="85">
        <v>0</v>
      </c>
      <c r="J68" s="85">
        <v>0</v>
      </c>
    </row>
    <row r="69" spans="1:10" ht="45.75" thickBot="1" x14ac:dyDescent="0.3">
      <c r="A69" s="179"/>
      <c r="B69" s="83" t="s">
        <v>669</v>
      </c>
      <c r="C69" s="82" t="s">
        <v>602</v>
      </c>
      <c r="D69" s="82">
        <v>0</v>
      </c>
      <c r="E69" s="82">
        <v>0</v>
      </c>
      <c r="F69" s="82">
        <v>0</v>
      </c>
      <c r="G69" s="82">
        <v>1</v>
      </c>
      <c r="H69" s="87">
        <v>1</v>
      </c>
      <c r="I69" s="87">
        <v>0</v>
      </c>
      <c r="J69" s="87">
        <v>0</v>
      </c>
    </row>
    <row r="70" spans="1:10" ht="45.75" thickBot="1" x14ac:dyDescent="0.3">
      <c r="A70" s="179"/>
      <c r="B70" s="83" t="s">
        <v>670</v>
      </c>
      <c r="C70" s="82" t="s">
        <v>602</v>
      </c>
      <c r="D70" s="82">
        <v>0</v>
      </c>
      <c r="E70" s="82">
        <v>4</v>
      </c>
      <c r="F70" s="82">
        <v>2</v>
      </c>
      <c r="G70" s="82">
        <v>1</v>
      </c>
      <c r="H70" s="87">
        <v>0</v>
      </c>
      <c r="I70" s="87">
        <v>0</v>
      </c>
      <c r="J70" s="87">
        <v>0</v>
      </c>
    </row>
    <row r="71" spans="1:10" ht="30.75" thickBot="1" x14ac:dyDescent="0.3">
      <c r="A71" s="178"/>
      <c r="B71" s="83" t="s">
        <v>614</v>
      </c>
      <c r="C71" s="82" t="s">
        <v>602</v>
      </c>
      <c r="D71" s="82">
        <v>0</v>
      </c>
      <c r="E71" s="82">
        <v>0</v>
      </c>
      <c r="F71" s="82">
        <v>1</v>
      </c>
      <c r="G71" s="82">
        <v>0</v>
      </c>
      <c r="H71" s="94">
        <v>0</v>
      </c>
      <c r="I71" s="94">
        <v>0</v>
      </c>
      <c r="J71" s="94">
        <v>0</v>
      </c>
    </row>
    <row r="72" spans="1:10" ht="30.75" thickBot="1" x14ac:dyDescent="0.3">
      <c r="A72" s="182" t="s">
        <v>818</v>
      </c>
      <c r="B72" s="83" t="s">
        <v>610</v>
      </c>
      <c r="C72" s="82" t="s">
        <v>671</v>
      </c>
      <c r="D72" s="88">
        <v>26500</v>
      </c>
      <c r="E72" s="88">
        <v>77982</v>
      </c>
      <c r="F72" s="88">
        <v>72678</v>
      </c>
      <c r="G72" s="88">
        <v>72623</v>
      </c>
      <c r="H72" s="88">
        <v>81516</v>
      </c>
      <c r="I72" s="88">
        <v>81516</v>
      </c>
      <c r="J72" s="88">
        <v>81516</v>
      </c>
    </row>
    <row r="73" spans="1:10" ht="45.75" thickBot="1" x14ac:dyDescent="0.3">
      <c r="A73" s="183"/>
      <c r="B73" s="83" t="s">
        <v>672</v>
      </c>
      <c r="C73" s="82" t="s">
        <v>602</v>
      </c>
      <c r="D73" s="82">
        <v>2</v>
      </c>
      <c r="E73" s="82">
        <v>2</v>
      </c>
      <c r="F73" s="82">
        <v>1</v>
      </c>
      <c r="G73" s="82">
        <v>1</v>
      </c>
      <c r="H73" s="82">
        <v>0</v>
      </c>
      <c r="I73" s="82">
        <v>0</v>
      </c>
      <c r="J73" s="82">
        <v>0</v>
      </c>
    </row>
    <row r="74" spans="1:10" ht="30.75" thickBot="1" x14ac:dyDescent="0.3">
      <c r="A74" s="184"/>
      <c r="B74" s="83" t="s">
        <v>673</v>
      </c>
      <c r="C74" s="82" t="s">
        <v>602</v>
      </c>
      <c r="D74" s="82">
        <v>3</v>
      </c>
      <c r="E74" s="82">
        <v>1</v>
      </c>
      <c r="F74" s="82">
        <v>4</v>
      </c>
      <c r="G74" s="102">
        <v>5</v>
      </c>
      <c r="H74" s="82">
        <v>3</v>
      </c>
      <c r="I74" s="82">
        <v>0</v>
      </c>
      <c r="J74" s="82">
        <v>0</v>
      </c>
    </row>
    <row r="75" spans="1:10" ht="45.75" thickBot="1" x14ac:dyDescent="0.3">
      <c r="A75" s="177" t="s">
        <v>674</v>
      </c>
      <c r="B75" s="83" t="s">
        <v>611</v>
      </c>
      <c r="C75" s="82" t="s">
        <v>594</v>
      </c>
      <c r="D75" s="82">
        <v>0</v>
      </c>
      <c r="E75" s="82">
        <v>100</v>
      </c>
      <c r="F75" s="82">
        <v>100</v>
      </c>
      <c r="G75" s="82">
        <v>100</v>
      </c>
      <c r="H75" s="82">
        <v>100</v>
      </c>
      <c r="I75" s="82">
        <v>100</v>
      </c>
      <c r="J75" s="82">
        <v>100</v>
      </c>
    </row>
    <row r="76" spans="1:10" ht="45.75" thickBot="1" x14ac:dyDescent="0.3">
      <c r="A76" s="179"/>
      <c r="B76" s="83" t="s">
        <v>675</v>
      </c>
      <c r="C76" s="82" t="s">
        <v>612</v>
      </c>
      <c r="D76" s="82">
        <v>0</v>
      </c>
      <c r="E76" s="88">
        <v>900773</v>
      </c>
      <c r="F76" s="82">
        <v>1038558</v>
      </c>
      <c r="G76" s="82">
        <f>1137098-60638</f>
        <v>1076460</v>
      </c>
      <c r="H76" s="82">
        <v>1018977</v>
      </c>
      <c r="I76" s="82">
        <v>1054090</v>
      </c>
      <c r="J76" s="82">
        <v>1054090</v>
      </c>
    </row>
    <row r="77" spans="1:10" ht="45.75" thickBot="1" x14ac:dyDescent="0.3">
      <c r="A77" s="179"/>
      <c r="B77" s="83" t="s">
        <v>963</v>
      </c>
      <c r="C77" s="82" t="s">
        <v>602</v>
      </c>
      <c r="D77" s="82">
        <v>0</v>
      </c>
      <c r="E77" s="82">
        <v>2</v>
      </c>
      <c r="F77" s="82">
        <v>0</v>
      </c>
      <c r="G77" s="82">
        <v>0</v>
      </c>
      <c r="H77" s="82">
        <v>0</v>
      </c>
      <c r="I77" s="82">
        <v>0</v>
      </c>
      <c r="J77" s="82">
        <v>0</v>
      </c>
    </row>
    <row r="78" spans="1:10" ht="45.75" thickBot="1" x14ac:dyDescent="0.3">
      <c r="A78" s="179"/>
      <c r="B78" s="83" t="s">
        <v>957</v>
      </c>
      <c r="C78" s="82" t="s">
        <v>748</v>
      </c>
      <c r="D78" s="82">
        <v>0</v>
      </c>
      <c r="E78" s="82">
        <v>0</v>
      </c>
      <c r="F78" s="82">
        <v>0</v>
      </c>
      <c r="G78" s="82">
        <v>1</v>
      </c>
      <c r="H78" s="82">
        <v>1</v>
      </c>
      <c r="I78" s="82">
        <v>0</v>
      </c>
      <c r="J78" s="82">
        <v>0</v>
      </c>
    </row>
    <row r="79" spans="1:10" ht="60.75" thickBot="1" x14ac:dyDescent="0.3">
      <c r="A79" s="179"/>
      <c r="B79" s="83" t="s">
        <v>660</v>
      </c>
      <c r="C79" s="82" t="s">
        <v>589</v>
      </c>
      <c r="D79" s="82">
        <v>0</v>
      </c>
      <c r="E79" s="82">
        <v>0</v>
      </c>
      <c r="F79" s="82">
        <v>188</v>
      </c>
      <c r="G79" s="82">
        <v>62</v>
      </c>
      <c r="H79" s="82">
        <f>45+26+48</f>
        <v>119</v>
      </c>
      <c r="I79" s="82">
        <v>0</v>
      </c>
      <c r="J79" s="82">
        <v>0</v>
      </c>
    </row>
    <row r="80" spans="1:10" ht="60.75" thickBot="1" x14ac:dyDescent="0.3">
      <c r="A80" s="179"/>
      <c r="B80" s="83" t="s">
        <v>613</v>
      </c>
      <c r="C80" s="82" t="s">
        <v>589</v>
      </c>
      <c r="D80" s="82">
        <v>0</v>
      </c>
      <c r="E80" s="82">
        <v>0</v>
      </c>
      <c r="F80" s="82">
        <v>71</v>
      </c>
      <c r="G80" s="82">
        <v>8</v>
      </c>
      <c r="H80" s="82">
        <f>21+10</f>
        <v>31</v>
      </c>
      <c r="I80" s="82">
        <v>0</v>
      </c>
      <c r="J80" s="82">
        <v>0</v>
      </c>
    </row>
    <row r="81" spans="1:10" ht="60.75" thickBot="1" x14ac:dyDescent="0.3">
      <c r="A81" s="179"/>
      <c r="B81" s="134" t="s">
        <v>964</v>
      </c>
      <c r="C81" s="82" t="s">
        <v>965</v>
      </c>
      <c r="D81" s="82">
        <v>0</v>
      </c>
      <c r="E81" s="82">
        <v>0</v>
      </c>
      <c r="F81" s="82">
        <v>0</v>
      </c>
      <c r="G81" s="82">
        <v>541.29999999999995</v>
      </c>
      <c r="H81" s="82">
        <v>0</v>
      </c>
      <c r="I81" s="82">
        <v>0</v>
      </c>
      <c r="J81" s="82">
        <v>0</v>
      </c>
    </row>
    <row r="82" spans="1:10" ht="30.75" thickBot="1" x14ac:dyDescent="0.3">
      <c r="A82" s="179"/>
      <c r="B82" s="135" t="s">
        <v>966</v>
      </c>
      <c r="C82" s="82" t="s">
        <v>589</v>
      </c>
      <c r="D82" s="82">
        <v>0</v>
      </c>
      <c r="E82" s="82">
        <v>0</v>
      </c>
      <c r="F82" s="82">
        <v>0</v>
      </c>
      <c r="G82" s="82">
        <v>1</v>
      </c>
      <c r="H82" s="82">
        <v>0</v>
      </c>
      <c r="I82" s="82">
        <v>0</v>
      </c>
      <c r="J82" s="82">
        <v>0</v>
      </c>
    </row>
    <row r="83" spans="1:10" ht="30.75" thickBot="1" x14ac:dyDescent="0.3">
      <c r="A83" s="179"/>
      <c r="B83" s="135" t="s">
        <v>967</v>
      </c>
      <c r="C83" s="82" t="s">
        <v>968</v>
      </c>
      <c r="D83" s="82">
        <v>0</v>
      </c>
      <c r="E83" s="82">
        <v>0</v>
      </c>
      <c r="F83" s="82">
        <v>0</v>
      </c>
      <c r="G83" s="82">
        <v>792</v>
      </c>
      <c r="H83" s="82">
        <v>918</v>
      </c>
      <c r="I83" s="82">
        <v>0</v>
      </c>
      <c r="J83" s="82">
        <v>0</v>
      </c>
    </row>
    <row r="84" spans="1:10" ht="75.75" thickBot="1" x14ac:dyDescent="0.3">
      <c r="A84" s="179"/>
      <c r="B84" s="135" t="s">
        <v>969</v>
      </c>
      <c r="C84" s="82" t="s">
        <v>748</v>
      </c>
      <c r="D84" s="82">
        <v>0</v>
      </c>
      <c r="E84" s="82">
        <v>0</v>
      </c>
      <c r="F84" s="82">
        <v>0</v>
      </c>
      <c r="G84" s="82">
        <v>1</v>
      </c>
      <c r="H84" s="82">
        <v>0</v>
      </c>
      <c r="I84" s="82">
        <v>0</v>
      </c>
      <c r="J84" s="82">
        <v>0</v>
      </c>
    </row>
    <row r="85" spans="1:10" ht="30.75" thickBot="1" x14ac:dyDescent="0.3">
      <c r="A85" s="179"/>
      <c r="B85" s="135" t="s">
        <v>1090</v>
      </c>
      <c r="C85" s="82" t="s">
        <v>589</v>
      </c>
      <c r="D85" s="82">
        <v>0</v>
      </c>
      <c r="E85" s="82">
        <v>0</v>
      </c>
      <c r="F85" s="82">
        <v>0</v>
      </c>
      <c r="G85" s="82">
        <v>0</v>
      </c>
      <c r="H85" s="82">
        <v>1</v>
      </c>
      <c r="I85" s="82">
        <v>0</v>
      </c>
      <c r="J85" s="82">
        <v>0</v>
      </c>
    </row>
    <row r="86" spans="1:10" ht="30.75" thickBot="1" x14ac:dyDescent="0.3">
      <c r="A86" s="178"/>
      <c r="B86" s="135" t="s">
        <v>1091</v>
      </c>
      <c r="C86" s="82" t="s">
        <v>748</v>
      </c>
      <c r="D86" s="82">
        <v>0</v>
      </c>
      <c r="E86" s="82">
        <v>0</v>
      </c>
      <c r="F86" s="82">
        <v>0</v>
      </c>
      <c r="G86" s="82">
        <v>0</v>
      </c>
      <c r="H86" s="82">
        <v>3</v>
      </c>
      <c r="I86" s="82">
        <v>2</v>
      </c>
      <c r="J86" s="82">
        <v>0</v>
      </c>
    </row>
    <row r="87" spans="1:10" ht="90.75" customHeight="1" thickBot="1" x14ac:dyDescent="0.3">
      <c r="A87" s="177" t="s">
        <v>676</v>
      </c>
      <c r="B87" s="83" t="s">
        <v>677</v>
      </c>
      <c r="C87" s="82" t="s">
        <v>602</v>
      </c>
      <c r="D87" s="82">
        <v>0</v>
      </c>
      <c r="E87" s="82">
        <v>0</v>
      </c>
      <c r="F87" s="82">
        <v>1</v>
      </c>
      <c r="G87" s="82">
        <v>0</v>
      </c>
      <c r="H87" s="82">
        <v>0</v>
      </c>
      <c r="I87" s="82">
        <v>0</v>
      </c>
      <c r="J87" s="82">
        <v>0</v>
      </c>
    </row>
    <row r="88" spans="1:10" ht="75.75" thickBot="1" x14ac:dyDescent="0.3">
      <c r="A88" s="178"/>
      <c r="B88" s="83" t="s">
        <v>1037</v>
      </c>
      <c r="C88" s="82" t="s">
        <v>748</v>
      </c>
      <c r="D88" s="82">
        <v>0</v>
      </c>
      <c r="E88" s="82">
        <v>0</v>
      </c>
      <c r="F88" s="82">
        <v>0</v>
      </c>
      <c r="G88" s="82">
        <v>0</v>
      </c>
      <c r="H88" s="82">
        <v>1</v>
      </c>
      <c r="I88" s="82">
        <v>0</v>
      </c>
      <c r="J88" s="82">
        <v>0</v>
      </c>
    </row>
    <row r="89" spans="1:10" ht="51" customHeight="1" thickBot="1" x14ac:dyDescent="0.3">
      <c r="A89" s="177" t="s">
        <v>678</v>
      </c>
      <c r="B89" s="83" t="s">
        <v>615</v>
      </c>
      <c r="C89" s="82" t="s">
        <v>632</v>
      </c>
      <c r="D89" s="82">
        <v>20</v>
      </c>
      <c r="E89" s="82">
        <v>2</v>
      </c>
      <c r="F89" s="82">
        <v>0</v>
      </c>
      <c r="G89" s="82">
        <v>0</v>
      </c>
      <c r="H89" s="82">
        <v>0</v>
      </c>
      <c r="I89" s="82">
        <v>0</v>
      </c>
      <c r="J89" s="82">
        <v>0</v>
      </c>
    </row>
    <row r="90" spans="1:10" ht="52.5" customHeight="1" thickBot="1" x14ac:dyDescent="0.3">
      <c r="A90" s="178"/>
      <c r="B90" s="83" t="s">
        <v>761</v>
      </c>
      <c r="C90" s="82" t="s">
        <v>632</v>
      </c>
      <c r="D90" s="82">
        <v>0</v>
      </c>
      <c r="E90" s="82">
        <v>0</v>
      </c>
      <c r="F90" s="82">
        <v>1</v>
      </c>
      <c r="G90" s="82">
        <v>1</v>
      </c>
      <c r="H90" s="82">
        <v>1</v>
      </c>
      <c r="I90" s="82">
        <v>0</v>
      </c>
      <c r="J90" s="82">
        <v>0</v>
      </c>
    </row>
    <row r="91" spans="1:10" ht="60.75" thickBot="1" x14ac:dyDescent="0.3">
      <c r="A91" s="164" t="s">
        <v>616</v>
      </c>
      <c r="B91" s="83" t="s">
        <v>617</v>
      </c>
      <c r="C91" s="82" t="s">
        <v>632</v>
      </c>
      <c r="D91" s="82">
        <v>0</v>
      </c>
      <c r="E91" s="82">
        <v>35</v>
      </c>
      <c r="F91" s="82">
        <v>36</v>
      </c>
      <c r="G91" s="82">
        <v>13</v>
      </c>
      <c r="H91" s="82">
        <v>16</v>
      </c>
      <c r="I91" s="82">
        <v>0</v>
      </c>
      <c r="J91" s="82">
        <v>0</v>
      </c>
    </row>
    <row r="92" spans="1:10" ht="60.75" thickBot="1" x14ac:dyDescent="0.3">
      <c r="A92" s="164" t="s">
        <v>618</v>
      </c>
      <c r="B92" s="83" t="s">
        <v>619</v>
      </c>
      <c r="C92" s="82" t="s">
        <v>589</v>
      </c>
      <c r="D92" s="82">
        <v>0</v>
      </c>
      <c r="E92" s="82">
        <v>2</v>
      </c>
      <c r="F92" s="82">
        <v>0</v>
      </c>
      <c r="G92" s="82">
        <v>0</v>
      </c>
      <c r="H92" s="82">
        <v>0</v>
      </c>
      <c r="I92" s="82">
        <v>0</v>
      </c>
      <c r="J92" s="82">
        <v>0</v>
      </c>
    </row>
    <row r="93" spans="1:10" ht="90.75" thickBot="1" x14ac:dyDescent="0.3">
      <c r="A93" s="136" t="s">
        <v>958</v>
      </c>
      <c r="B93" s="137" t="s">
        <v>959</v>
      </c>
      <c r="C93" s="82" t="s">
        <v>589</v>
      </c>
      <c r="D93" s="82">
        <v>0</v>
      </c>
      <c r="E93" s="82">
        <v>0</v>
      </c>
      <c r="F93" s="82">
        <v>0</v>
      </c>
      <c r="G93" s="82">
        <v>3</v>
      </c>
      <c r="H93" s="82">
        <v>0</v>
      </c>
      <c r="I93" s="82">
        <v>0</v>
      </c>
      <c r="J93" s="82">
        <v>0</v>
      </c>
    </row>
    <row r="94" spans="1:10" ht="45.75" thickBot="1" x14ac:dyDescent="0.3">
      <c r="A94" s="163" t="s">
        <v>679</v>
      </c>
      <c r="B94" s="84" t="s">
        <v>620</v>
      </c>
      <c r="C94" s="85" t="s">
        <v>602</v>
      </c>
      <c r="D94" s="94">
        <v>0</v>
      </c>
      <c r="E94" s="94">
        <v>0</v>
      </c>
      <c r="F94" s="94">
        <v>1</v>
      </c>
      <c r="G94" s="94">
        <v>1</v>
      </c>
      <c r="H94" s="94">
        <v>0</v>
      </c>
      <c r="I94" s="94">
        <v>0</v>
      </c>
      <c r="J94" s="94">
        <v>0</v>
      </c>
    </row>
    <row r="95" spans="1:10" ht="81.75" customHeight="1" thickBot="1" x14ac:dyDescent="0.3">
      <c r="A95" s="185" t="s">
        <v>1038</v>
      </c>
      <c r="B95" s="89" t="s">
        <v>1111</v>
      </c>
      <c r="C95" s="94" t="s">
        <v>748</v>
      </c>
      <c r="D95" s="85">
        <v>0</v>
      </c>
      <c r="E95" s="85">
        <v>0</v>
      </c>
      <c r="F95" s="85">
        <v>0</v>
      </c>
      <c r="G95" s="85">
        <v>0</v>
      </c>
      <c r="H95" s="85">
        <v>3</v>
      </c>
      <c r="I95" s="85">
        <v>0</v>
      </c>
      <c r="J95" s="85">
        <v>0</v>
      </c>
    </row>
    <row r="96" spans="1:10" ht="45.75" thickBot="1" x14ac:dyDescent="0.3">
      <c r="A96" s="186"/>
      <c r="B96" s="89" t="s">
        <v>1112</v>
      </c>
      <c r="C96" s="94" t="s">
        <v>1113</v>
      </c>
      <c r="D96" s="94">
        <v>0</v>
      </c>
      <c r="E96" s="94">
        <v>0</v>
      </c>
      <c r="F96" s="94">
        <v>0</v>
      </c>
      <c r="G96" s="94">
        <v>0</v>
      </c>
      <c r="H96" s="94">
        <f>212-100</f>
        <v>112</v>
      </c>
      <c r="I96" s="94">
        <v>100</v>
      </c>
      <c r="J96" s="94">
        <v>0</v>
      </c>
    </row>
    <row r="97" spans="1:10" ht="45.75" thickBot="1" x14ac:dyDescent="0.3">
      <c r="A97" s="186"/>
      <c r="B97" s="164" t="s">
        <v>1094</v>
      </c>
      <c r="C97" s="157" t="s">
        <v>658</v>
      </c>
      <c r="D97" s="157">
        <v>0</v>
      </c>
      <c r="E97" s="157">
        <v>0</v>
      </c>
      <c r="F97" s="157">
        <v>0</v>
      </c>
      <c r="G97" s="157">
        <v>0</v>
      </c>
      <c r="H97" s="157">
        <v>0</v>
      </c>
      <c r="I97" s="157">
        <v>1</v>
      </c>
      <c r="J97" s="157">
        <v>0</v>
      </c>
    </row>
    <row r="98" spans="1:10" ht="60.75" thickBot="1" x14ac:dyDescent="0.3">
      <c r="A98" s="186"/>
      <c r="B98" s="89" t="s">
        <v>1114</v>
      </c>
      <c r="C98" s="94" t="s">
        <v>748</v>
      </c>
      <c r="D98" s="94">
        <v>0</v>
      </c>
      <c r="E98" s="94">
        <v>0</v>
      </c>
      <c r="F98" s="94">
        <v>0</v>
      </c>
      <c r="G98" s="94">
        <v>0</v>
      </c>
      <c r="H98" s="94">
        <v>8</v>
      </c>
      <c r="I98" s="94">
        <v>0</v>
      </c>
      <c r="J98" s="94">
        <v>0</v>
      </c>
    </row>
    <row r="99" spans="1:10" ht="45.75" thickBot="1" x14ac:dyDescent="0.3">
      <c r="A99" s="186"/>
      <c r="B99" s="89" t="s">
        <v>1147</v>
      </c>
      <c r="C99" s="94" t="s">
        <v>748</v>
      </c>
      <c r="D99" s="94">
        <v>0</v>
      </c>
      <c r="E99" s="94">
        <v>0</v>
      </c>
      <c r="F99" s="94">
        <v>0</v>
      </c>
      <c r="G99" s="94">
        <v>0</v>
      </c>
      <c r="H99" s="94">
        <v>0</v>
      </c>
      <c r="I99" s="94">
        <v>1</v>
      </c>
      <c r="J99" s="94">
        <v>0</v>
      </c>
    </row>
    <row r="100" spans="1:10" ht="60.75" thickBot="1" x14ac:dyDescent="0.3">
      <c r="A100" s="186"/>
      <c r="B100" s="89" t="s">
        <v>1170</v>
      </c>
      <c r="C100" s="94" t="s">
        <v>748</v>
      </c>
      <c r="D100" s="94">
        <v>0</v>
      </c>
      <c r="E100" s="94">
        <v>0</v>
      </c>
      <c r="F100" s="94">
        <v>0</v>
      </c>
      <c r="G100" s="94">
        <v>0</v>
      </c>
      <c r="H100" s="94">
        <v>0</v>
      </c>
      <c r="I100" s="94">
        <v>1</v>
      </c>
      <c r="J100" s="94">
        <v>0</v>
      </c>
    </row>
    <row r="101" spans="1:10" ht="45.75" thickBot="1" x14ac:dyDescent="0.3">
      <c r="A101" s="187"/>
      <c r="B101" s="89" t="s">
        <v>1148</v>
      </c>
      <c r="C101" s="94" t="s">
        <v>748</v>
      </c>
      <c r="D101" s="94">
        <v>0</v>
      </c>
      <c r="E101" s="94">
        <v>0</v>
      </c>
      <c r="F101" s="94">
        <v>0</v>
      </c>
      <c r="G101" s="94">
        <v>0</v>
      </c>
      <c r="H101" s="94">
        <v>0</v>
      </c>
      <c r="I101" s="94">
        <v>1</v>
      </c>
      <c r="J101" s="94">
        <v>1</v>
      </c>
    </row>
    <row r="102" spans="1:10" ht="28.5" customHeight="1" thickBot="1" x14ac:dyDescent="0.3">
      <c r="A102" s="180" t="s">
        <v>680</v>
      </c>
      <c r="B102" s="174"/>
      <c r="C102" s="174"/>
      <c r="D102" s="174"/>
      <c r="E102" s="174"/>
      <c r="F102" s="174"/>
      <c r="G102" s="174"/>
      <c r="H102" s="174"/>
      <c r="I102" s="174"/>
      <c r="J102" s="181"/>
    </row>
    <row r="103" spans="1:10" ht="75.75" thickBot="1" x14ac:dyDescent="0.3">
      <c r="A103" s="164" t="s">
        <v>621</v>
      </c>
      <c r="B103" s="83" t="s">
        <v>622</v>
      </c>
      <c r="C103" s="82" t="s">
        <v>681</v>
      </c>
      <c r="D103" s="82">
        <v>0</v>
      </c>
      <c r="E103" s="82">
        <v>93.6</v>
      </c>
      <c r="F103" s="82">
        <v>55.2</v>
      </c>
      <c r="G103" s="82">
        <v>59</v>
      </c>
      <c r="H103" s="82">
        <v>0</v>
      </c>
      <c r="I103" s="82">
        <v>0</v>
      </c>
      <c r="J103" s="82">
        <v>0</v>
      </c>
    </row>
    <row r="104" spans="1:10" ht="75.75" thickBot="1" x14ac:dyDescent="0.3">
      <c r="A104" s="163" t="s">
        <v>682</v>
      </c>
      <c r="B104" s="84" t="s">
        <v>623</v>
      </c>
      <c r="C104" s="85" t="s">
        <v>594</v>
      </c>
      <c r="D104" s="85">
        <v>0</v>
      </c>
      <c r="E104" s="85">
        <v>10.5</v>
      </c>
      <c r="F104" s="85">
        <v>15.8</v>
      </c>
      <c r="G104" s="85">
        <v>0</v>
      </c>
      <c r="H104" s="85">
        <v>0</v>
      </c>
      <c r="I104" s="85">
        <v>0</v>
      </c>
      <c r="J104" s="85">
        <v>0</v>
      </c>
    </row>
    <row r="105" spans="1:10" ht="30.75" thickBot="1" x14ac:dyDescent="0.3">
      <c r="A105" s="89" t="s">
        <v>683</v>
      </c>
      <c r="B105" s="90" t="s">
        <v>820</v>
      </c>
      <c r="C105" s="91" t="s">
        <v>632</v>
      </c>
      <c r="D105" s="91">
        <v>0</v>
      </c>
      <c r="E105" s="91">
        <v>2</v>
      </c>
      <c r="F105" s="91">
        <v>3</v>
      </c>
      <c r="G105" s="91">
        <v>0</v>
      </c>
      <c r="H105" s="91">
        <v>0</v>
      </c>
      <c r="I105" s="91">
        <v>0</v>
      </c>
      <c r="J105" s="91">
        <v>0</v>
      </c>
    </row>
    <row r="106" spans="1:10" ht="30.75" thickBot="1" x14ac:dyDescent="0.3">
      <c r="A106" s="164" t="s">
        <v>684</v>
      </c>
      <c r="B106" s="83" t="s">
        <v>624</v>
      </c>
      <c r="C106" s="82" t="s">
        <v>602</v>
      </c>
      <c r="D106" s="82">
        <v>0</v>
      </c>
      <c r="E106" s="82">
        <v>0</v>
      </c>
      <c r="F106" s="82">
        <v>1</v>
      </c>
      <c r="G106" s="82">
        <v>1</v>
      </c>
      <c r="H106" s="82">
        <v>0</v>
      </c>
      <c r="I106" s="82">
        <v>0</v>
      </c>
      <c r="J106" s="82">
        <v>0</v>
      </c>
    </row>
    <row r="107" spans="1:10" ht="75.75" thickBot="1" x14ac:dyDescent="0.3">
      <c r="A107" s="164" t="s">
        <v>685</v>
      </c>
      <c r="B107" s="83" t="s">
        <v>625</v>
      </c>
      <c r="C107" s="82" t="s">
        <v>594</v>
      </c>
      <c r="D107" s="82">
        <v>0</v>
      </c>
      <c r="E107" s="82">
        <v>0</v>
      </c>
      <c r="F107" s="102">
        <v>5.3</v>
      </c>
      <c r="G107" s="82">
        <v>5.3</v>
      </c>
      <c r="H107" s="82">
        <v>0</v>
      </c>
      <c r="I107" s="82">
        <v>0</v>
      </c>
      <c r="J107" s="82">
        <v>0</v>
      </c>
    </row>
    <row r="108" spans="1:10" ht="60.75" thickBot="1" x14ac:dyDescent="0.3">
      <c r="A108" s="164" t="s">
        <v>955</v>
      </c>
      <c r="B108" s="83" t="s">
        <v>954</v>
      </c>
      <c r="C108" s="82" t="s">
        <v>632</v>
      </c>
      <c r="D108" s="82">
        <v>0</v>
      </c>
      <c r="E108" s="82">
        <v>0</v>
      </c>
      <c r="F108" s="102">
        <v>0</v>
      </c>
      <c r="G108" s="82">
        <v>5</v>
      </c>
      <c r="H108" s="82">
        <v>0</v>
      </c>
      <c r="I108" s="82">
        <v>0</v>
      </c>
      <c r="J108" s="82">
        <v>0</v>
      </c>
    </row>
    <row r="109" spans="1:10" ht="75.75" thickBot="1" x14ac:dyDescent="0.3">
      <c r="A109" s="175" t="s">
        <v>972</v>
      </c>
      <c r="B109" s="138" t="s">
        <v>971</v>
      </c>
      <c r="C109" s="82" t="s">
        <v>632</v>
      </c>
      <c r="D109" s="82">
        <v>0</v>
      </c>
      <c r="E109" s="82">
        <v>0</v>
      </c>
      <c r="F109" s="102">
        <v>0</v>
      </c>
      <c r="G109" s="82">
        <f>24+4</f>
        <v>28</v>
      </c>
      <c r="H109" s="82">
        <v>0</v>
      </c>
      <c r="I109" s="82">
        <v>0</v>
      </c>
      <c r="J109" s="82">
        <v>0</v>
      </c>
    </row>
    <row r="110" spans="1:10" ht="45.75" thickBot="1" x14ac:dyDescent="0.3">
      <c r="A110" s="176"/>
      <c r="B110" s="90" t="s">
        <v>956</v>
      </c>
      <c r="C110" s="82" t="s">
        <v>632</v>
      </c>
      <c r="D110" s="82">
        <v>0</v>
      </c>
      <c r="E110" s="82">
        <v>0</v>
      </c>
      <c r="F110" s="102">
        <v>0</v>
      </c>
      <c r="G110" s="82">
        <f>1+2</f>
        <v>3</v>
      </c>
      <c r="H110" s="82">
        <v>0</v>
      </c>
      <c r="I110" s="82">
        <v>0</v>
      </c>
      <c r="J110" s="82">
        <v>0</v>
      </c>
    </row>
    <row r="111" spans="1:10" x14ac:dyDescent="0.25">
      <c r="A111" s="99"/>
    </row>
  </sheetData>
  <mergeCells count="31">
    <mergeCell ref="A75:A86"/>
    <mergeCell ref="A5:J5"/>
    <mergeCell ref="A6:A7"/>
    <mergeCell ref="A17:J17"/>
    <mergeCell ref="A35:J35"/>
    <mergeCell ref="A23:A24"/>
    <mergeCell ref="A41:A42"/>
    <mergeCell ref="A26:A28"/>
    <mergeCell ref="A109:A110"/>
    <mergeCell ref="A14:A15"/>
    <mergeCell ref="A9:A11"/>
    <mergeCell ref="A12:A13"/>
    <mergeCell ref="A102:J102"/>
    <mergeCell ref="A43:J43"/>
    <mergeCell ref="A44:A53"/>
    <mergeCell ref="A64:J64"/>
    <mergeCell ref="A72:A74"/>
    <mergeCell ref="A89:A90"/>
    <mergeCell ref="A65:A71"/>
    <mergeCell ref="A29:A31"/>
    <mergeCell ref="A54:A63"/>
    <mergeCell ref="A87:A88"/>
    <mergeCell ref="A36:A38"/>
    <mergeCell ref="A95:A101"/>
    <mergeCell ref="E1:J1"/>
    <mergeCell ref="A3:A4"/>
    <mergeCell ref="B3:B4"/>
    <mergeCell ref="C3:C4"/>
    <mergeCell ref="D3:D4"/>
    <mergeCell ref="E3:J3"/>
    <mergeCell ref="A2:J2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A1:AN556"/>
  <sheetViews>
    <sheetView view="pageBreakPreview" zoomScale="60" zoomScaleNormal="70" workbookViewId="0">
      <pane ySplit="7" topLeftCell="A8" activePane="bottomLeft" state="frozen"/>
      <selection pane="bottomLeft" activeCell="E9" sqref="E9"/>
    </sheetView>
  </sheetViews>
  <sheetFormatPr defaultRowHeight="15.75" outlineLevelRow="4" outlineLevelCol="1" x14ac:dyDescent="0.25"/>
  <cols>
    <col min="1" max="1" width="10" style="14" customWidth="1"/>
    <col min="2" max="2" width="36.85546875" style="1" customWidth="1"/>
    <col min="3" max="3" width="26.7109375" style="1" customWidth="1"/>
    <col min="4" max="4" width="19.5703125" style="1" customWidth="1"/>
    <col min="5" max="5" width="16.140625" style="3" customWidth="1"/>
    <col min="6" max="6" width="15" style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6.85546875" style="3" customWidth="1"/>
    <col min="11" max="11" width="15" style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3.85546875" style="37" customWidth="1"/>
    <col min="16" max="16" width="15" style="36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3" customWidth="1"/>
    <col min="21" max="21" width="12.7109375" style="1" customWidth="1" outlineLevel="1"/>
    <col min="22" max="22" width="14.5703125" style="1" customWidth="1"/>
    <col min="23" max="23" width="13.85546875" style="1" customWidth="1"/>
    <col min="24" max="24" width="12.7109375" style="36" customWidth="1"/>
    <col min="25" max="25" width="14" style="3" customWidth="1" collapsed="1"/>
    <col min="26" max="26" width="13.5703125" style="1" hidden="1" customWidth="1" outlineLevel="1"/>
    <col min="27" max="27" width="12.7109375" style="1" customWidth="1"/>
    <col min="28" max="28" width="14.85546875" style="1" customWidth="1"/>
    <col min="29" max="29" width="13.28515625" style="36" customWidth="1"/>
    <col min="30" max="30" width="15" style="3" customWidth="1" collapsed="1"/>
    <col min="31" max="31" width="15" style="1" hidden="1" customWidth="1" outlineLevel="1"/>
    <col min="32" max="33" width="15" style="1" customWidth="1"/>
    <col min="34" max="34" width="15.7109375" style="36" customWidth="1"/>
    <col min="35" max="35" width="15" style="3" customWidth="1" collapsed="1"/>
    <col min="36" max="36" width="15" style="1" hidden="1" customWidth="1" outlineLevel="1"/>
    <col min="37" max="38" width="15" style="1" customWidth="1"/>
    <col min="39" max="39" width="15.7109375" style="36" customWidth="1"/>
    <col min="40" max="43" width="7.7109375" style="1" customWidth="1"/>
    <col min="44" max="44" width="6.85546875" style="1" bestFit="1" customWidth="1"/>
    <col min="45" max="45" width="10.28515625" style="1" bestFit="1" customWidth="1"/>
    <col min="46" max="46" width="3.85546875" style="1" bestFit="1" customWidth="1"/>
    <col min="47" max="48" width="9.28515625" style="1" customWidth="1"/>
    <col min="49" max="16384" width="9.140625" style="1"/>
  </cols>
  <sheetData>
    <row r="1" spans="1:40" s="10" customFormat="1" ht="60.75" customHeight="1" x14ac:dyDescent="0.25">
      <c r="A1" s="15"/>
      <c r="B1" s="111"/>
      <c r="C1" s="23"/>
      <c r="D1" s="228"/>
      <c r="E1" s="228"/>
      <c r="F1" s="228"/>
      <c r="G1" s="228"/>
      <c r="H1" s="228"/>
      <c r="I1" s="228"/>
      <c r="J1" s="228"/>
      <c r="K1" s="228"/>
      <c r="L1" s="228"/>
      <c r="O1" s="11"/>
      <c r="AH1" s="231" t="s">
        <v>694</v>
      </c>
      <c r="AI1" s="231"/>
      <c r="AJ1" s="231"/>
      <c r="AK1" s="231"/>
      <c r="AL1" s="231"/>
      <c r="AM1" s="231"/>
      <c r="AN1" s="35"/>
    </row>
    <row r="2" spans="1:40" ht="15.75" customHeight="1" x14ac:dyDescent="0.25">
      <c r="A2" s="230" t="s">
        <v>695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0"/>
      <c r="AK2" s="230"/>
      <c r="AL2" s="230"/>
      <c r="AM2" s="230"/>
    </row>
    <row r="3" spans="1:40" x14ac:dyDescent="0.25">
      <c r="E3" s="4"/>
    </row>
    <row r="4" spans="1:40" x14ac:dyDescent="0.25">
      <c r="A4" s="229" t="s">
        <v>2</v>
      </c>
      <c r="B4" s="192" t="s">
        <v>6</v>
      </c>
      <c r="C4" s="193" t="s">
        <v>271</v>
      </c>
      <c r="D4" s="193" t="s">
        <v>0</v>
      </c>
      <c r="E4" s="221" t="s">
        <v>463</v>
      </c>
      <c r="F4" s="221"/>
      <c r="G4" s="221"/>
      <c r="H4" s="221"/>
      <c r="I4" s="221"/>
      <c r="J4" s="232" t="s">
        <v>464</v>
      </c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3"/>
      <c r="AK4" s="233"/>
      <c r="AL4" s="233"/>
      <c r="AM4" s="233"/>
    </row>
    <row r="5" spans="1:40" x14ac:dyDescent="0.25">
      <c r="A5" s="229"/>
      <c r="B5" s="192"/>
      <c r="C5" s="193"/>
      <c r="D5" s="193"/>
      <c r="E5" s="221"/>
      <c r="F5" s="221"/>
      <c r="G5" s="221"/>
      <c r="H5" s="221"/>
      <c r="I5" s="221"/>
      <c r="J5" s="221" t="s">
        <v>9</v>
      </c>
      <c r="K5" s="221"/>
      <c r="L5" s="221"/>
      <c r="M5" s="221"/>
      <c r="N5" s="221"/>
      <c r="O5" s="221" t="s">
        <v>10</v>
      </c>
      <c r="P5" s="221"/>
      <c r="Q5" s="221"/>
      <c r="R5" s="221"/>
      <c r="S5" s="221"/>
      <c r="T5" s="221" t="s">
        <v>11</v>
      </c>
      <c r="U5" s="221"/>
      <c r="V5" s="221"/>
      <c r="W5" s="221"/>
      <c r="X5" s="221"/>
      <c r="Y5" s="221" t="s">
        <v>400</v>
      </c>
      <c r="Z5" s="221"/>
      <c r="AA5" s="221"/>
      <c r="AB5" s="221"/>
      <c r="AC5" s="221"/>
      <c r="AD5" s="221" t="s">
        <v>401</v>
      </c>
      <c r="AE5" s="221"/>
      <c r="AF5" s="221"/>
      <c r="AG5" s="221"/>
      <c r="AH5" s="221"/>
      <c r="AI5" s="221" t="s">
        <v>402</v>
      </c>
      <c r="AJ5" s="221"/>
      <c r="AK5" s="221"/>
      <c r="AL5" s="221"/>
      <c r="AM5" s="221"/>
    </row>
    <row r="6" spans="1:40" x14ac:dyDescent="0.25">
      <c r="A6" s="229"/>
      <c r="B6" s="192"/>
      <c r="C6" s="193"/>
      <c r="D6" s="193"/>
      <c r="E6" s="220" t="s">
        <v>1</v>
      </c>
      <c r="F6" s="222" t="s">
        <v>5</v>
      </c>
      <c r="G6" s="222"/>
      <c r="H6" s="222"/>
      <c r="I6" s="222"/>
      <c r="J6" s="220" t="s">
        <v>1</v>
      </c>
      <c r="K6" s="222" t="s">
        <v>5</v>
      </c>
      <c r="L6" s="222"/>
      <c r="M6" s="222"/>
      <c r="N6" s="222"/>
      <c r="O6" s="220" t="s">
        <v>1</v>
      </c>
      <c r="P6" s="222" t="s">
        <v>5</v>
      </c>
      <c r="Q6" s="222"/>
      <c r="R6" s="222"/>
      <c r="S6" s="222"/>
      <c r="T6" s="220" t="s">
        <v>1</v>
      </c>
      <c r="U6" s="222" t="s">
        <v>5</v>
      </c>
      <c r="V6" s="222"/>
      <c r="W6" s="222"/>
      <c r="X6" s="222"/>
      <c r="Y6" s="220" t="s">
        <v>1</v>
      </c>
      <c r="Z6" s="222" t="s">
        <v>5</v>
      </c>
      <c r="AA6" s="222"/>
      <c r="AB6" s="222"/>
      <c r="AC6" s="222"/>
      <c r="AD6" s="220" t="s">
        <v>1</v>
      </c>
      <c r="AE6" s="222" t="s">
        <v>5</v>
      </c>
      <c r="AF6" s="222"/>
      <c r="AG6" s="222"/>
      <c r="AH6" s="222"/>
      <c r="AI6" s="220" t="s">
        <v>1</v>
      </c>
      <c r="AJ6" s="222" t="s">
        <v>5</v>
      </c>
      <c r="AK6" s="222"/>
      <c r="AL6" s="222"/>
      <c r="AM6" s="222"/>
    </row>
    <row r="7" spans="1:40" s="2" customFormat="1" ht="31.5" x14ac:dyDescent="0.25">
      <c r="A7" s="229"/>
      <c r="B7" s="192"/>
      <c r="C7" s="193"/>
      <c r="D7" s="193"/>
      <c r="E7" s="220"/>
      <c r="F7" s="166" t="s">
        <v>33</v>
      </c>
      <c r="G7" s="166" t="s">
        <v>34</v>
      </c>
      <c r="H7" s="166" t="s">
        <v>29</v>
      </c>
      <c r="I7" s="166" t="s">
        <v>35</v>
      </c>
      <c r="J7" s="220"/>
      <c r="K7" s="166" t="s">
        <v>33</v>
      </c>
      <c r="L7" s="166" t="s">
        <v>34</v>
      </c>
      <c r="M7" s="166" t="s">
        <v>29</v>
      </c>
      <c r="N7" s="166" t="s">
        <v>35</v>
      </c>
      <c r="O7" s="220"/>
      <c r="P7" s="166" t="s">
        <v>33</v>
      </c>
      <c r="Q7" s="166" t="s">
        <v>34</v>
      </c>
      <c r="R7" s="166" t="s">
        <v>29</v>
      </c>
      <c r="S7" s="166" t="s">
        <v>35</v>
      </c>
      <c r="T7" s="220"/>
      <c r="U7" s="166" t="s">
        <v>33</v>
      </c>
      <c r="V7" s="166" t="s">
        <v>34</v>
      </c>
      <c r="W7" s="166" t="s">
        <v>29</v>
      </c>
      <c r="X7" s="166" t="s">
        <v>35</v>
      </c>
      <c r="Y7" s="220"/>
      <c r="Z7" s="166" t="s">
        <v>33</v>
      </c>
      <c r="AA7" s="166" t="s">
        <v>34</v>
      </c>
      <c r="AB7" s="166" t="s">
        <v>29</v>
      </c>
      <c r="AC7" s="166" t="s">
        <v>35</v>
      </c>
      <c r="AD7" s="220"/>
      <c r="AE7" s="166" t="s">
        <v>33</v>
      </c>
      <c r="AF7" s="166" t="s">
        <v>34</v>
      </c>
      <c r="AG7" s="166" t="s">
        <v>29</v>
      </c>
      <c r="AH7" s="166" t="s">
        <v>35</v>
      </c>
      <c r="AI7" s="220"/>
      <c r="AJ7" s="166" t="s">
        <v>33</v>
      </c>
      <c r="AK7" s="166" t="s">
        <v>34</v>
      </c>
      <c r="AL7" s="166" t="s">
        <v>29</v>
      </c>
      <c r="AM7" s="166" t="s">
        <v>35</v>
      </c>
    </row>
    <row r="8" spans="1:40" s="2" customFormat="1" x14ac:dyDescent="0.25">
      <c r="A8" s="165">
        <v>1</v>
      </c>
      <c r="B8" s="93">
        <v>2</v>
      </c>
      <c r="C8" s="166">
        <v>3</v>
      </c>
      <c r="D8" s="166">
        <v>4</v>
      </c>
      <c r="E8" s="166">
        <v>5</v>
      </c>
      <c r="F8" s="165">
        <v>6</v>
      </c>
      <c r="G8" s="93">
        <v>7</v>
      </c>
      <c r="H8" s="166">
        <v>8</v>
      </c>
      <c r="I8" s="166">
        <v>9</v>
      </c>
      <c r="J8" s="166">
        <v>10</v>
      </c>
      <c r="K8" s="165">
        <v>11</v>
      </c>
      <c r="L8" s="93">
        <v>12</v>
      </c>
      <c r="M8" s="166">
        <v>13</v>
      </c>
      <c r="N8" s="166">
        <v>14</v>
      </c>
      <c r="O8" s="166">
        <v>15</v>
      </c>
      <c r="P8" s="165">
        <v>16</v>
      </c>
      <c r="Q8" s="93">
        <v>17</v>
      </c>
      <c r="R8" s="166">
        <v>18</v>
      </c>
      <c r="S8" s="166">
        <v>19</v>
      </c>
      <c r="T8" s="166">
        <v>20</v>
      </c>
      <c r="U8" s="165">
        <v>21</v>
      </c>
      <c r="V8" s="93">
        <v>22</v>
      </c>
      <c r="W8" s="166">
        <v>23</v>
      </c>
      <c r="X8" s="166">
        <v>24</v>
      </c>
      <c r="Y8" s="166">
        <v>25</v>
      </c>
      <c r="Z8" s="165">
        <v>26</v>
      </c>
      <c r="AA8" s="93">
        <v>27</v>
      </c>
      <c r="AB8" s="166">
        <v>28</v>
      </c>
      <c r="AC8" s="166">
        <v>29</v>
      </c>
      <c r="AD8" s="166">
        <v>30</v>
      </c>
      <c r="AE8" s="165">
        <v>31</v>
      </c>
      <c r="AF8" s="93">
        <v>32</v>
      </c>
      <c r="AG8" s="166">
        <v>33</v>
      </c>
      <c r="AH8" s="166">
        <v>34</v>
      </c>
      <c r="AI8" s="166">
        <v>35</v>
      </c>
      <c r="AJ8" s="165">
        <v>36</v>
      </c>
      <c r="AK8" s="93">
        <v>37</v>
      </c>
      <c r="AL8" s="166">
        <v>38</v>
      </c>
      <c r="AM8" s="166">
        <v>39</v>
      </c>
    </row>
    <row r="9" spans="1:40" s="5" customFormat="1" ht="42" customHeight="1" x14ac:dyDescent="0.25">
      <c r="A9" s="165"/>
      <c r="B9" s="192" t="s">
        <v>476</v>
      </c>
      <c r="C9" s="193"/>
      <c r="D9" s="193"/>
      <c r="E9" s="18">
        <f>E10+E112+E210+E251+E328+E513</f>
        <v>2924389.8039862514</v>
      </c>
      <c r="F9" s="18" t="s">
        <v>900</v>
      </c>
      <c r="G9" s="18">
        <f t="shared" ref="G9:AM9" si="0">G10+G112+G210+G251+G328+G513</f>
        <v>263105.2</v>
      </c>
      <c r="H9" s="18">
        <f t="shared" si="0"/>
        <v>2658579.8039862514</v>
      </c>
      <c r="I9" s="18">
        <f t="shared" si="0"/>
        <v>2704.8</v>
      </c>
      <c r="J9" s="18">
        <f t="shared" si="0"/>
        <v>652310.30000000005</v>
      </c>
      <c r="K9" s="18">
        <f t="shared" si="0"/>
        <v>0</v>
      </c>
      <c r="L9" s="18">
        <f t="shared" si="0"/>
        <v>138959.70000000001</v>
      </c>
      <c r="M9" s="18">
        <f t="shared" si="0"/>
        <v>512837.20000000007</v>
      </c>
      <c r="N9" s="18">
        <f t="shared" si="0"/>
        <v>513.40000000000009</v>
      </c>
      <c r="O9" s="18">
        <f t="shared" si="0"/>
        <v>518415.30398625147</v>
      </c>
      <c r="P9" s="18">
        <f t="shared" si="0"/>
        <v>0</v>
      </c>
      <c r="Q9" s="18">
        <f t="shared" si="0"/>
        <v>10000</v>
      </c>
      <c r="R9" s="18">
        <f t="shared" si="0"/>
        <v>508309.40398625151</v>
      </c>
      <c r="S9" s="18">
        <f t="shared" si="0"/>
        <v>105.9</v>
      </c>
      <c r="T9" s="18">
        <f t="shared" si="0"/>
        <v>650332.4</v>
      </c>
      <c r="U9" s="18">
        <f t="shared" si="0"/>
        <v>0</v>
      </c>
      <c r="V9" s="18">
        <f t="shared" si="0"/>
        <v>92290.299999999988</v>
      </c>
      <c r="W9" s="18">
        <f t="shared" si="0"/>
        <v>556994.79999999993</v>
      </c>
      <c r="X9" s="18">
        <f t="shared" si="0"/>
        <v>1047.3</v>
      </c>
      <c r="Y9" s="18">
        <f t="shared" si="0"/>
        <v>368860.9</v>
      </c>
      <c r="Z9" s="18">
        <f t="shared" si="0"/>
        <v>0</v>
      </c>
      <c r="AA9" s="18">
        <f t="shared" si="0"/>
        <v>21855.200000000001</v>
      </c>
      <c r="AB9" s="18">
        <f t="shared" si="0"/>
        <v>346367.5</v>
      </c>
      <c r="AC9" s="18">
        <f t="shared" si="0"/>
        <v>638.20000000000005</v>
      </c>
      <c r="AD9" s="18">
        <f t="shared" si="0"/>
        <v>377675</v>
      </c>
      <c r="AE9" s="18">
        <f t="shared" si="0"/>
        <v>0</v>
      </c>
      <c r="AF9" s="18">
        <f t="shared" si="0"/>
        <v>0</v>
      </c>
      <c r="AG9" s="18">
        <f t="shared" si="0"/>
        <v>377352</v>
      </c>
      <c r="AH9" s="18">
        <f t="shared" si="0"/>
        <v>323</v>
      </c>
      <c r="AI9" s="18">
        <f t="shared" si="0"/>
        <v>356795.89999999997</v>
      </c>
      <c r="AJ9" s="18">
        <f t="shared" si="0"/>
        <v>0</v>
      </c>
      <c r="AK9" s="18">
        <f t="shared" si="0"/>
        <v>0</v>
      </c>
      <c r="AL9" s="18">
        <f t="shared" si="0"/>
        <v>356718.89999999997</v>
      </c>
      <c r="AM9" s="18">
        <f t="shared" si="0"/>
        <v>77</v>
      </c>
    </row>
    <row r="10" spans="1:40" s="5" customFormat="1" ht="59.25" customHeight="1" collapsed="1" x14ac:dyDescent="0.25">
      <c r="A10" s="165">
        <v>1</v>
      </c>
      <c r="B10" s="192" t="s">
        <v>7</v>
      </c>
      <c r="C10" s="193"/>
      <c r="D10" s="193"/>
      <c r="E10" s="18">
        <f t="shared" ref="E10:AM10" si="1">E11+E24+E78+E90+E93+E100+E109</f>
        <v>152932.70000000001</v>
      </c>
      <c r="F10" s="18">
        <f t="shared" si="1"/>
        <v>0</v>
      </c>
      <c r="G10" s="18">
        <f t="shared" si="1"/>
        <v>6170.3</v>
      </c>
      <c r="H10" s="18">
        <f t="shared" si="1"/>
        <v>146762.4</v>
      </c>
      <c r="I10" s="18">
        <f t="shared" si="1"/>
        <v>0</v>
      </c>
      <c r="J10" s="18">
        <f t="shared" si="1"/>
        <v>57541.299999999996</v>
      </c>
      <c r="K10" s="18">
        <f t="shared" si="1"/>
        <v>0</v>
      </c>
      <c r="L10" s="18">
        <f t="shared" si="1"/>
        <v>6170.3</v>
      </c>
      <c r="M10" s="18">
        <f t="shared" si="1"/>
        <v>51370.999999999993</v>
      </c>
      <c r="N10" s="18">
        <f t="shared" si="1"/>
        <v>0</v>
      </c>
      <c r="O10" s="18">
        <f t="shared" si="1"/>
        <v>53462.3</v>
      </c>
      <c r="P10" s="18">
        <f t="shared" si="1"/>
        <v>0</v>
      </c>
      <c r="Q10" s="18">
        <f t="shared" si="1"/>
        <v>0</v>
      </c>
      <c r="R10" s="18">
        <f t="shared" si="1"/>
        <v>53462.3</v>
      </c>
      <c r="S10" s="18">
        <f t="shared" si="1"/>
        <v>0</v>
      </c>
      <c r="T10" s="18">
        <f t="shared" si="1"/>
        <v>41929.1</v>
      </c>
      <c r="U10" s="18">
        <f t="shared" si="1"/>
        <v>0</v>
      </c>
      <c r="V10" s="18">
        <f t="shared" si="1"/>
        <v>0</v>
      </c>
      <c r="W10" s="18">
        <f t="shared" si="1"/>
        <v>41929.1</v>
      </c>
      <c r="X10" s="18">
        <f t="shared" si="1"/>
        <v>0</v>
      </c>
      <c r="Y10" s="18">
        <f t="shared" si="1"/>
        <v>0</v>
      </c>
      <c r="Z10" s="18">
        <f t="shared" si="1"/>
        <v>0</v>
      </c>
      <c r="AA10" s="18">
        <f t="shared" si="1"/>
        <v>0</v>
      </c>
      <c r="AB10" s="18">
        <f t="shared" si="1"/>
        <v>0</v>
      </c>
      <c r="AC10" s="18">
        <f t="shared" si="1"/>
        <v>0</v>
      </c>
      <c r="AD10" s="18">
        <f t="shared" si="1"/>
        <v>0</v>
      </c>
      <c r="AE10" s="18">
        <f t="shared" si="1"/>
        <v>0</v>
      </c>
      <c r="AF10" s="18">
        <f t="shared" si="1"/>
        <v>0</v>
      </c>
      <c r="AG10" s="18">
        <f t="shared" si="1"/>
        <v>0</v>
      </c>
      <c r="AH10" s="18">
        <f t="shared" si="1"/>
        <v>0</v>
      </c>
      <c r="AI10" s="18">
        <f t="shared" si="1"/>
        <v>0</v>
      </c>
      <c r="AJ10" s="18">
        <f t="shared" si="1"/>
        <v>0</v>
      </c>
      <c r="AK10" s="18">
        <f t="shared" si="1"/>
        <v>0</v>
      </c>
      <c r="AL10" s="18">
        <f t="shared" si="1"/>
        <v>0</v>
      </c>
      <c r="AM10" s="18">
        <f t="shared" si="1"/>
        <v>0</v>
      </c>
    </row>
    <row r="11" spans="1:40" s="5" customFormat="1" hidden="1" outlineLevel="3" x14ac:dyDescent="0.25">
      <c r="A11" s="165" t="s">
        <v>137</v>
      </c>
      <c r="B11" s="194" t="s">
        <v>43</v>
      </c>
      <c r="C11" s="195"/>
      <c r="D11" s="195"/>
      <c r="E11" s="18">
        <f t="shared" ref="E11:AM11" si="2">SUM(E12:E23)</f>
        <v>55108.299999999996</v>
      </c>
      <c r="F11" s="18">
        <f t="shared" si="2"/>
        <v>0</v>
      </c>
      <c r="G11" s="18">
        <f t="shared" si="2"/>
        <v>6170.3</v>
      </c>
      <c r="H11" s="18">
        <f t="shared" si="2"/>
        <v>48938</v>
      </c>
      <c r="I11" s="18">
        <f t="shared" si="2"/>
        <v>0</v>
      </c>
      <c r="J11" s="18">
        <f t="shared" si="2"/>
        <v>31196.6</v>
      </c>
      <c r="K11" s="18">
        <f t="shared" si="2"/>
        <v>0</v>
      </c>
      <c r="L11" s="18">
        <f t="shared" si="2"/>
        <v>6170.3</v>
      </c>
      <c r="M11" s="18">
        <f t="shared" si="2"/>
        <v>25026.299999999996</v>
      </c>
      <c r="N11" s="18">
        <f t="shared" si="2"/>
        <v>0</v>
      </c>
      <c r="O11" s="18">
        <f t="shared" si="2"/>
        <v>18432.900000000001</v>
      </c>
      <c r="P11" s="18">
        <f t="shared" si="2"/>
        <v>0</v>
      </c>
      <c r="Q11" s="18">
        <f t="shared" si="2"/>
        <v>0</v>
      </c>
      <c r="R11" s="18">
        <f t="shared" si="2"/>
        <v>18432.900000000001</v>
      </c>
      <c r="S11" s="18">
        <f t="shared" si="2"/>
        <v>0</v>
      </c>
      <c r="T11" s="18">
        <f t="shared" si="2"/>
        <v>5478.8</v>
      </c>
      <c r="U11" s="18">
        <f t="shared" si="2"/>
        <v>0</v>
      </c>
      <c r="V11" s="18">
        <f t="shared" si="2"/>
        <v>0</v>
      </c>
      <c r="W11" s="18">
        <f t="shared" si="2"/>
        <v>5478.8</v>
      </c>
      <c r="X11" s="18">
        <f t="shared" si="2"/>
        <v>0</v>
      </c>
      <c r="Y11" s="18">
        <f t="shared" si="2"/>
        <v>0</v>
      </c>
      <c r="Z11" s="18">
        <f t="shared" si="2"/>
        <v>0</v>
      </c>
      <c r="AA11" s="18">
        <f t="shared" si="2"/>
        <v>0</v>
      </c>
      <c r="AB11" s="18">
        <f t="shared" si="2"/>
        <v>0</v>
      </c>
      <c r="AC11" s="18">
        <f t="shared" si="2"/>
        <v>0</v>
      </c>
      <c r="AD11" s="18">
        <f t="shared" si="2"/>
        <v>0</v>
      </c>
      <c r="AE11" s="18">
        <f t="shared" si="2"/>
        <v>0</v>
      </c>
      <c r="AF11" s="18">
        <f t="shared" si="2"/>
        <v>0</v>
      </c>
      <c r="AG11" s="18">
        <f t="shared" si="2"/>
        <v>0</v>
      </c>
      <c r="AH11" s="18">
        <f t="shared" si="2"/>
        <v>0</v>
      </c>
      <c r="AI11" s="18">
        <f t="shared" si="2"/>
        <v>0</v>
      </c>
      <c r="AJ11" s="18">
        <f t="shared" si="2"/>
        <v>0</v>
      </c>
      <c r="AK11" s="18">
        <f t="shared" si="2"/>
        <v>0</v>
      </c>
      <c r="AL11" s="18">
        <f t="shared" si="2"/>
        <v>0</v>
      </c>
      <c r="AM11" s="18">
        <f t="shared" si="2"/>
        <v>0</v>
      </c>
    </row>
    <row r="12" spans="1:40" s="2" customFormat="1" ht="47.25" hidden="1" outlineLevel="4" x14ac:dyDescent="0.25">
      <c r="A12" s="8" t="s">
        <v>74</v>
      </c>
      <c r="B12" s="25" t="s">
        <v>68</v>
      </c>
      <c r="C12" s="26" t="s">
        <v>31</v>
      </c>
      <c r="D12" s="26" t="s">
        <v>8</v>
      </c>
      <c r="E12" s="20">
        <f t="shared" ref="E12:E22" si="3">SUM(F12:I12)</f>
        <v>9800.5</v>
      </c>
      <c r="F12" s="38">
        <f>K12+P12+U12</f>
        <v>0</v>
      </c>
      <c r="G12" s="38">
        <f t="shared" ref="G12:I15" si="4">L12+Q12+V12+AA12+AF12+AK12</f>
        <v>0</v>
      </c>
      <c r="H12" s="38">
        <f t="shared" si="4"/>
        <v>9800.5</v>
      </c>
      <c r="I12" s="38">
        <f t="shared" si="4"/>
        <v>0</v>
      </c>
      <c r="J12" s="18">
        <f t="shared" ref="J12:J22" si="5">SUM(K12:N12)</f>
        <v>9800.5</v>
      </c>
      <c r="K12" s="19">
        <v>0</v>
      </c>
      <c r="L12" s="19">
        <v>0</v>
      </c>
      <c r="M12" s="19">
        <f>9791.8+8.7</f>
        <v>9800.5</v>
      </c>
      <c r="N12" s="19">
        <v>0</v>
      </c>
      <c r="O12" s="18">
        <f t="shared" ref="O12:O15" si="6">SUM(P12:S12)</f>
        <v>0</v>
      </c>
      <c r="P12" s="19">
        <v>0</v>
      </c>
      <c r="Q12" s="19">
        <v>0</v>
      </c>
      <c r="R12" s="19">
        <v>0</v>
      </c>
      <c r="S12" s="19">
        <v>0</v>
      </c>
      <c r="T12" s="18">
        <f t="shared" ref="T12:T20" si="7">SUM(U12:X12)</f>
        <v>0</v>
      </c>
      <c r="U12" s="19">
        <v>0</v>
      </c>
      <c r="V12" s="19">
        <v>0</v>
      </c>
      <c r="W12" s="19">
        <v>0</v>
      </c>
      <c r="X12" s="19">
        <v>0</v>
      </c>
      <c r="Y12" s="18">
        <f t="shared" ref="Y12:Y15" si="8">SUM(Z12:AC12)</f>
        <v>0</v>
      </c>
      <c r="Z12" s="19">
        <v>0</v>
      </c>
      <c r="AA12" s="19">
        <v>0</v>
      </c>
      <c r="AB12" s="19">
        <v>0</v>
      </c>
      <c r="AC12" s="19">
        <v>0</v>
      </c>
      <c r="AD12" s="18">
        <f t="shared" ref="AD12:AD15" si="9">SUM(AE12:AH12)</f>
        <v>0</v>
      </c>
      <c r="AE12" s="19">
        <v>0</v>
      </c>
      <c r="AF12" s="19">
        <v>0</v>
      </c>
      <c r="AG12" s="19">
        <v>0</v>
      </c>
      <c r="AH12" s="19">
        <v>0</v>
      </c>
      <c r="AI12" s="18">
        <f t="shared" ref="AI12:AI15" si="10">SUM(AJ12:AM12)</f>
        <v>0</v>
      </c>
      <c r="AJ12" s="19">
        <v>0</v>
      </c>
      <c r="AK12" s="19">
        <v>0</v>
      </c>
      <c r="AL12" s="19">
        <v>0</v>
      </c>
      <c r="AM12" s="19">
        <v>0</v>
      </c>
    </row>
    <row r="13" spans="1:40" s="2" customFormat="1" ht="47.25" hidden="1" outlineLevel="4" x14ac:dyDescent="0.25">
      <c r="A13" s="8" t="s">
        <v>75</v>
      </c>
      <c r="B13" s="25" t="s">
        <v>69</v>
      </c>
      <c r="C13" s="26" t="s">
        <v>31</v>
      </c>
      <c r="D13" s="26" t="s">
        <v>8</v>
      </c>
      <c r="E13" s="20">
        <f t="shared" si="3"/>
        <v>1316.3999999999999</v>
      </c>
      <c r="F13" s="38">
        <f>K13+P13+U13</f>
        <v>0</v>
      </c>
      <c r="G13" s="38">
        <f t="shared" si="4"/>
        <v>0</v>
      </c>
      <c r="H13" s="38">
        <f t="shared" si="4"/>
        <v>1316.3999999999999</v>
      </c>
      <c r="I13" s="38">
        <f t="shared" si="4"/>
        <v>0</v>
      </c>
      <c r="J13" s="18">
        <f t="shared" si="5"/>
        <v>1253.3</v>
      </c>
      <c r="K13" s="19">
        <v>0</v>
      </c>
      <c r="L13" s="19">
        <v>0</v>
      </c>
      <c r="M13" s="19">
        <v>1253.3</v>
      </c>
      <c r="N13" s="19">
        <v>0</v>
      </c>
      <c r="O13" s="18">
        <f t="shared" si="6"/>
        <v>63.1</v>
      </c>
      <c r="P13" s="19">
        <v>0</v>
      </c>
      <c r="Q13" s="19">
        <v>0</v>
      </c>
      <c r="R13" s="19">
        <v>63.1</v>
      </c>
      <c r="S13" s="19">
        <v>0</v>
      </c>
      <c r="T13" s="18">
        <f t="shared" si="7"/>
        <v>0</v>
      </c>
      <c r="U13" s="19">
        <v>0</v>
      </c>
      <c r="V13" s="19"/>
      <c r="W13" s="19">
        <v>0</v>
      </c>
      <c r="X13" s="19">
        <v>0</v>
      </c>
      <c r="Y13" s="18">
        <f t="shared" si="8"/>
        <v>0</v>
      </c>
      <c r="Z13" s="19">
        <v>0</v>
      </c>
      <c r="AA13" s="19">
        <v>0</v>
      </c>
      <c r="AB13" s="19">
        <v>0</v>
      </c>
      <c r="AC13" s="19">
        <v>0</v>
      </c>
      <c r="AD13" s="18">
        <f t="shared" si="9"/>
        <v>0</v>
      </c>
      <c r="AE13" s="19">
        <v>0</v>
      </c>
      <c r="AF13" s="19">
        <v>0</v>
      </c>
      <c r="AG13" s="19">
        <v>0</v>
      </c>
      <c r="AH13" s="19">
        <v>0</v>
      </c>
      <c r="AI13" s="18">
        <f t="shared" si="10"/>
        <v>0</v>
      </c>
      <c r="AJ13" s="19">
        <v>0</v>
      </c>
      <c r="AK13" s="19">
        <v>0</v>
      </c>
      <c r="AL13" s="19">
        <v>0</v>
      </c>
      <c r="AM13" s="19">
        <v>0</v>
      </c>
    </row>
    <row r="14" spans="1:40" s="2" customFormat="1" ht="78.75" hidden="1" outlineLevel="4" x14ac:dyDescent="0.25">
      <c r="A14" s="8" t="s">
        <v>76</v>
      </c>
      <c r="B14" s="25" t="s">
        <v>117</v>
      </c>
      <c r="C14" s="26" t="s">
        <v>376</v>
      </c>
      <c r="D14" s="26" t="s">
        <v>8</v>
      </c>
      <c r="E14" s="20">
        <f t="shared" si="3"/>
        <v>15299.899999999998</v>
      </c>
      <c r="F14" s="38">
        <f>K14+P14+U14</f>
        <v>0</v>
      </c>
      <c r="G14" s="38">
        <f t="shared" si="4"/>
        <v>6170.3</v>
      </c>
      <c r="H14" s="38">
        <f t="shared" si="4"/>
        <v>9129.5999999999985</v>
      </c>
      <c r="I14" s="38">
        <f t="shared" si="4"/>
        <v>0</v>
      </c>
      <c r="J14" s="18">
        <f t="shared" si="5"/>
        <v>15299.899999999998</v>
      </c>
      <c r="K14" s="19">
        <v>0</v>
      </c>
      <c r="L14" s="19">
        <v>6170.3</v>
      </c>
      <c r="M14" s="19">
        <f>8938.8+190.8</f>
        <v>9129.5999999999985</v>
      </c>
      <c r="N14" s="19">
        <v>0</v>
      </c>
      <c r="O14" s="18">
        <f t="shared" si="6"/>
        <v>0</v>
      </c>
      <c r="P14" s="19">
        <v>0</v>
      </c>
      <c r="Q14" s="19">
        <v>0</v>
      </c>
      <c r="R14" s="19">
        <v>0</v>
      </c>
      <c r="S14" s="19">
        <v>0</v>
      </c>
      <c r="T14" s="18">
        <f t="shared" si="7"/>
        <v>0</v>
      </c>
      <c r="U14" s="19">
        <v>0</v>
      </c>
      <c r="V14" s="19">
        <v>0</v>
      </c>
      <c r="W14" s="19">
        <v>0</v>
      </c>
      <c r="X14" s="19">
        <v>0</v>
      </c>
      <c r="Y14" s="18">
        <f t="shared" si="8"/>
        <v>0</v>
      </c>
      <c r="Z14" s="19">
        <v>0</v>
      </c>
      <c r="AA14" s="19">
        <v>0</v>
      </c>
      <c r="AB14" s="19">
        <v>0</v>
      </c>
      <c r="AC14" s="19">
        <v>0</v>
      </c>
      <c r="AD14" s="18">
        <f t="shared" si="9"/>
        <v>0</v>
      </c>
      <c r="AE14" s="19">
        <v>0</v>
      </c>
      <c r="AF14" s="19">
        <v>0</v>
      </c>
      <c r="AG14" s="19">
        <v>0</v>
      </c>
      <c r="AH14" s="19">
        <v>0</v>
      </c>
      <c r="AI14" s="18">
        <f t="shared" si="10"/>
        <v>0</v>
      </c>
      <c r="AJ14" s="19">
        <v>0</v>
      </c>
      <c r="AK14" s="19">
        <v>0</v>
      </c>
      <c r="AL14" s="19">
        <v>0</v>
      </c>
      <c r="AM14" s="19">
        <v>0</v>
      </c>
    </row>
    <row r="15" spans="1:40" s="2" customFormat="1" ht="78.75" hidden="1" outlineLevel="4" x14ac:dyDescent="0.25">
      <c r="A15" s="8" t="s">
        <v>440</v>
      </c>
      <c r="B15" s="25" t="s">
        <v>73</v>
      </c>
      <c r="C15" s="26" t="s">
        <v>376</v>
      </c>
      <c r="D15" s="26" t="s">
        <v>8</v>
      </c>
      <c r="E15" s="20">
        <f t="shared" si="3"/>
        <v>4842.8999999999996</v>
      </c>
      <c r="F15" s="38">
        <f>K15+P15+U15+Z15+AE15+AJ15</f>
        <v>0</v>
      </c>
      <c r="G15" s="38">
        <f t="shared" si="4"/>
        <v>0</v>
      </c>
      <c r="H15" s="38">
        <f t="shared" si="4"/>
        <v>4842.8999999999996</v>
      </c>
      <c r="I15" s="38">
        <f t="shared" si="4"/>
        <v>0</v>
      </c>
      <c r="J15" s="18">
        <f t="shared" si="5"/>
        <v>4842.8999999999996</v>
      </c>
      <c r="K15" s="19">
        <v>0</v>
      </c>
      <c r="L15" s="19">
        <v>0</v>
      </c>
      <c r="M15" s="19">
        <f>1208+3634.9</f>
        <v>4842.8999999999996</v>
      </c>
      <c r="N15" s="19">
        <v>0</v>
      </c>
      <c r="O15" s="18">
        <f t="shared" si="6"/>
        <v>0</v>
      </c>
      <c r="P15" s="19">
        <v>0</v>
      </c>
      <c r="Q15" s="19">
        <v>0</v>
      </c>
      <c r="R15" s="19">
        <v>0</v>
      </c>
      <c r="S15" s="19">
        <v>0</v>
      </c>
      <c r="T15" s="18">
        <f t="shared" si="7"/>
        <v>0</v>
      </c>
      <c r="U15" s="19">
        <v>0</v>
      </c>
      <c r="V15" s="19">
        <v>0</v>
      </c>
      <c r="W15" s="19">
        <v>0</v>
      </c>
      <c r="X15" s="19">
        <v>0</v>
      </c>
      <c r="Y15" s="18">
        <f t="shared" si="8"/>
        <v>0</v>
      </c>
      <c r="Z15" s="19">
        <v>0</v>
      </c>
      <c r="AA15" s="19">
        <v>0</v>
      </c>
      <c r="AB15" s="19">
        <v>0</v>
      </c>
      <c r="AC15" s="19">
        <v>0</v>
      </c>
      <c r="AD15" s="18">
        <f t="shared" si="9"/>
        <v>0</v>
      </c>
      <c r="AE15" s="19">
        <v>0</v>
      </c>
      <c r="AF15" s="19">
        <v>0</v>
      </c>
      <c r="AG15" s="19">
        <v>0</v>
      </c>
      <c r="AH15" s="19">
        <v>0</v>
      </c>
      <c r="AI15" s="18">
        <f t="shared" si="10"/>
        <v>0</v>
      </c>
      <c r="AJ15" s="19">
        <v>0</v>
      </c>
      <c r="AK15" s="19">
        <v>0</v>
      </c>
      <c r="AL15" s="19">
        <v>0</v>
      </c>
      <c r="AM15" s="19">
        <v>0</v>
      </c>
    </row>
    <row r="16" spans="1:40" s="2" customFormat="1" ht="63" hidden="1" outlineLevel="4" x14ac:dyDescent="0.25">
      <c r="A16" s="8" t="s">
        <v>441</v>
      </c>
      <c r="B16" s="27" t="s">
        <v>470</v>
      </c>
      <c r="C16" s="26" t="s">
        <v>32</v>
      </c>
      <c r="D16" s="26" t="s">
        <v>118</v>
      </c>
      <c r="E16" s="20">
        <f t="shared" si="3"/>
        <v>4390.1000000000004</v>
      </c>
      <c r="F16" s="38">
        <f t="shared" ref="F16:G20" si="11">K16+P16+U16+Z16+AE16+AJ16</f>
        <v>0</v>
      </c>
      <c r="G16" s="38">
        <f t="shared" si="11"/>
        <v>0</v>
      </c>
      <c r="H16" s="38">
        <f t="shared" ref="H16:H22" si="12">M16+R16+W16+AB16+AG16+AL16</f>
        <v>4390.1000000000004</v>
      </c>
      <c r="I16" s="38">
        <f t="shared" ref="I16:I22" si="13">N16+S16+X16+AC16+AH16+AM16</f>
        <v>0</v>
      </c>
      <c r="J16" s="18">
        <f t="shared" si="5"/>
        <v>0</v>
      </c>
      <c r="K16" s="19">
        <v>0</v>
      </c>
      <c r="L16" s="19">
        <v>0</v>
      </c>
      <c r="M16" s="19">
        <v>0</v>
      </c>
      <c r="N16" s="19">
        <v>0</v>
      </c>
      <c r="O16" s="18">
        <f t="shared" ref="O16:O22" si="14">R16</f>
        <v>4390.1000000000004</v>
      </c>
      <c r="P16" s="19">
        <v>0</v>
      </c>
      <c r="Q16" s="19">
        <v>0</v>
      </c>
      <c r="R16" s="112">
        <f>4390.1</f>
        <v>4390.1000000000004</v>
      </c>
      <c r="S16" s="19">
        <v>0</v>
      </c>
      <c r="T16" s="18">
        <f t="shared" si="7"/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</row>
    <row r="17" spans="1:39" s="2" customFormat="1" ht="63" hidden="1" outlineLevel="4" x14ac:dyDescent="0.25">
      <c r="A17" s="8" t="s">
        <v>442</v>
      </c>
      <c r="B17" s="27" t="s">
        <v>471</v>
      </c>
      <c r="C17" s="26" t="s">
        <v>32</v>
      </c>
      <c r="D17" s="26" t="s">
        <v>118</v>
      </c>
      <c r="E17" s="20">
        <f t="shared" si="3"/>
        <v>4390.1000000000004</v>
      </c>
      <c r="F17" s="38">
        <f t="shared" si="11"/>
        <v>0</v>
      </c>
      <c r="G17" s="38">
        <f t="shared" si="11"/>
        <v>0</v>
      </c>
      <c r="H17" s="38">
        <f t="shared" si="12"/>
        <v>4390.1000000000004</v>
      </c>
      <c r="I17" s="38">
        <f t="shared" si="13"/>
        <v>0</v>
      </c>
      <c r="J17" s="18">
        <f t="shared" si="5"/>
        <v>0</v>
      </c>
      <c r="K17" s="19">
        <v>0</v>
      </c>
      <c r="L17" s="19">
        <v>0</v>
      </c>
      <c r="M17" s="19">
        <v>0</v>
      </c>
      <c r="N17" s="19">
        <v>0</v>
      </c>
      <c r="O17" s="18">
        <f t="shared" si="14"/>
        <v>4390.1000000000004</v>
      </c>
      <c r="P17" s="19">
        <v>0</v>
      </c>
      <c r="Q17" s="19">
        <v>0</v>
      </c>
      <c r="R17" s="112">
        <f>4390.1</f>
        <v>4390.1000000000004</v>
      </c>
      <c r="S17" s="19">
        <v>0</v>
      </c>
      <c r="T17" s="18">
        <f t="shared" si="7"/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</row>
    <row r="18" spans="1:39" s="2" customFormat="1" ht="63" hidden="1" outlineLevel="4" x14ac:dyDescent="0.25">
      <c r="A18" s="8" t="s">
        <v>77</v>
      </c>
      <c r="B18" s="27" t="s">
        <v>472</v>
      </c>
      <c r="C18" s="26" t="s">
        <v>32</v>
      </c>
      <c r="D18" s="26" t="s">
        <v>118</v>
      </c>
      <c r="E18" s="20">
        <f t="shared" si="3"/>
        <v>4390.1000000000004</v>
      </c>
      <c r="F18" s="38">
        <f t="shared" si="11"/>
        <v>0</v>
      </c>
      <c r="G18" s="38">
        <f t="shared" si="11"/>
        <v>0</v>
      </c>
      <c r="H18" s="38">
        <f t="shared" si="12"/>
        <v>4390.1000000000004</v>
      </c>
      <c r="I18" s="38">
        <f t="shared" si="13"/>
        <v>0</v>
      </c>
      <c r="J18" s="18">
        <f t="shared" si="5"/>
        <v>0</v>
      </c>
      <c r="K18" s="19">
        <v>0</v>
      </c>
      <c r="L18" s="19">
        <v>0</v>
      </c>
      <c r="M18" s="19">
        <v>0</v>
      </c>
      <c r="N18" s="19">
        <v>0</v>
      </c>
      <c r="O18" s="18">
        <f t="shared" si="14"/>
        <v>4390.1000000000004</v>
      </c>
      <c r="P18" s="19">
        <v>0</v>
      </c>
      <c r="Q18" s="19">
        <v>0</v>
      </c>
      <c r="R18" s="112">
        <f>4390.1</f>
        <v>4390.1000000000004</v>
      </c>
      <c r="S18" s="19">
        <v>0</v>
      </c>
      <c r="T18" s="18">
        <f t="shared" si="7"/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</row>
    <row r="19" spans="1:39" s="2" customFormat="1" ht="63" hidden="1" outlineLevel="4" x14ac:dyDescent="0.25">
      <c r="A19" s="8" t="s">
        <v>78</v>
      </c>
      <c r="B19" s="27" t="s">
        <v>473</v>
      </c>
      <c r="C19" s="26" t="s">
        <v>32</v>
      </c>
      <c r="D19" s="26" t="s">
        <v>118</v>
      </c>
      <c r="E19" s="20">
        <f t="shared" si="3"/>
        <v>4390.1000000000004</v>
      </c>
      <c r="F19" s="38">
        <f>K19+P19+U19+Z19+AE19+AJ19</f>
        <v>0</v>
      </c>
      <c r="G19" s="38">
        <f>L19+Q19+V19+AA19+AF19+AK19</f>
        <v>0</v>
      </c>
      <c r="H19" s="38">
        <f t="shared" si="12"/>
        <v>4390.1000000000004</v>
      </c>
      <c r="I19" s="38">
        <f>N19+S19+X19+AC19+AH19+AM19</f>
        <v>0</v>
      </c>
      <c r="J19" s="18">
        <f t="shared" si="5"/>
        <v>0</v>
      </c>
      <c r="K19" s="19">
        <v>0</v>
      </c>
      <c r="L19" s="19">
        <v>0</v>
      </c>
      <c r="M19" s="19">
        <v>0</v>
      </c>
      <c r="N19" s="19">
        <v>0</v>
      </c>
      <c r="O19" s="18">
        <f t="shared" si="14"/>
        <v>4390.1000000000004</v>
      </c>
      <c r="P19" s="19">
        <v>0</v>
      </c>
      <c r="Q19" s="19">
        <v>0</v>
      </c>
      <c r="R19" s="112">
        <f>4390.1</f>
        <v>4390.1000000000004</v>
      </c>
      <c r="S19" s="19">
        <v>0</v>
      </c>
      <c r="T19" s="18">
        <f t="shared" si="7"/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</row>
    <row r="20" spans="1:39" s="2" customFormat="1" ht="47.25" hidden="1" outlineLevel="4" x14ac:dyDescent="0.25">
      <c r="A20" s="8" t="s">
        <v>399</v>
      </c>
      <c r="B20" s="27" t="s">
        <v>485</v>
      </c>
      <c r="C20" s="26" t="s">
        <v>32</v>
      </c>
      <c r="D20" s="26" t="s">
        <v>118</v>
      </c>
      <c r="E20" s="20">
        <f t="shared" si="3"/>
        <v>809.4</v>
      </c>
      <c r="F20" s="38">
        <f t="shared" si="11"/>
        <v>0</v>
      </c>
      <c r="G20" s="38">
        <f t="shared" si="11"/>
        <v>0</v>
      </c>
      <c r="H20" s="38">
        <f t="shared" si="12"/>
        <v>809.4</v>
      </c>
      <c r="I20" s="38">
        <f t="shared" si="13"/>
        <v>0</v>
      </c>
      <c r="J20" s="18">
        <f t="shared" si="5"/>
        <v>0</v>
      </c>
      <c r="K20" s="19">
        <v>0</v>
      </c>
      <c r="L20" s="19">
        <v>0</v>
      </c>
      <c r="M20" s="19">
        <v>0</v>
      </c>
      <c r="N20" s="19">
        <v>0</v>
      </c>
      <c r="O20" s="18">
        <f t="shared" si="14"/>
        <v>809.4</v>
      </c>
      <c r="P20" s="19">
        <v>0</v>
      </c>
      <c r="Q20" s="19">
        <v>0</v>
      </c>
      <c r="R20" s="112">
        <v>809.4</v>
      </c>
      <c r="S20" s="19">
        <v>0</v>
      </c>
      <c r="T20" s="18">
        <f t="shared" si="7"/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</row>
    <row r="21" spans="1:39" s="2" customFormat="1" ht="68.25" hidden="1" customHeight="1" outlineLevel="4" x14ac:dyDescent="0.25">
      <c r="A21" s="8" t="s">
        <v>403</v>
      </c>
      <c r="B21" s="30" t="s">
        <v>828</v>
      </c>
      <c r="C21" s="26" t="s">
        <v>32</v>
      </c>
      <c r="D21" s="26" t="s">
        <v>118</v>
      </c>
      <c r="E21" s="20">
        <f t="shared" si="3"/>
        <v>2350</v>
      </c>
      <c r="F21" s="38">
        <f t="shared" ref="F21:G22" si="15">K21+P21+U21+Z21+AE21+AJ21</f>
        <v>0</v>
      </c>
      <c r="G21" s="38">
        <f t="shared" si="15"/>
        <v>0</v>
      </c>
      <c r="H21" s="38">
        <f t="shared" si="12"/>
        <v>2350</v>
      </c>
      <c r="I21" s="38">
        <f t="shared" si="13"/>
        <v>0</v>
      </c>
      <c r="J21" s="18">
        <f t="shared" si="5"/>
        <v>0</v>
      </c>
      <c r="K21" s="19">
        <v>0</v>
      </c>
      <c r="L21" s="19">
        <v>0</v>
      </c>
      <c r="M21" s="19">
        <v>0</v>
      </c>
      <c r="N21" s="19">
        <v>0</v>
      </c>
      <c r="O21" s="18">
        <f t="shared" si="14"/>
        <v>0</v>
      </c>
      <c r="P21" s="19">
        <v>0</v>
      </c>
      <c r="Q21" s="19">
        <v>0</v>
      </c>
      <c r="R21" s="112">
        <v>0</v>
      </c>
      <c r="S21" s="19">
        <v>0</v>
      </c>
      <c r="T21" s="18">
        <f>W21</f>
        <v>2350</v>
      </c>
      <c r="U21" s="19"/>
      <c r="V21" s="19">
        <v>0</v>
      </c>
      <c r="W21" s="19">
        <v>2350</v>
      </c>
      <c r="X21" s="19">
        <v>0</v>
      </c>
      <c r="Y21" s="19">
        <f>AB21</f>
        <v>0</v>
      </c>
      <c r="Z21" s="19"/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</row>
    <row r="22" spans="1:39" s="2" customFormat="1" ht="68.25" hidden="1" customHeight="1" outlineLevel="4" x14ac:dyDescent="0.25">
      <c r="A22" s="8" t="s">
        <v>404</v>
      </c>
      <c r="B22" s="30" t="s">
        <v>939</v>
      </c>
      <c r="C22" s="26" t="s">
        <v>32</v>
      </c>
      <c r="D22" s="26" t="s">
        <v>118</v>
      </c>
      <c r="E22" s="20">
        <f t="shared" si="3"/>
        <v>1628.8</v>
      </c>
      <c r="F22" s="38">
        <f t="shared" si="15"/>
        <v>0</v>
      </c>
      <c r="G22" s="38">
        <f t="shared" si="15"/>
        <v>0</v>
      </c>
      <c r="H22" s="38">
        <f t="shared" si="12"/>
        <v>1628.8</v>
      </c>
      <c r="I22" s="38">
        <f t="shared" si="13"/>
        <v>0</v>
      </c>
      <c r="J22" s="18">
        <f t="shared" si="5"/>
        <v>0</v>
      </c>
      <c r="K22" s="19">
        <v>0</v>
      </c>
      <c r="L22" s="19">
        <v>0</v>
      </c>
      <c r="M22" s="19">
        <v>0</v>
      </c>
      <c r="N22" s="19">
        <v>0</v>
      </c>
      <c r="O22" s="18">
        <f t="shared" si="14"/>
        <v>0</v>
      </c>
      <c r="P22" s="19">
        <v>0</v>
      </c>
      <c r="Q22" s="19">
        <v>0</v>
      </c>
      <c r="R22" s="112">
        <v>0</v>
      </c>
      <c r="S22" s="19">
        <v>0</v>
      </c>
      <c r="T22" s="18">
        <f>W22</f>
        <v>1628.8</v>
      </c>
      <c r="U22" s="19"/>
      <c r="V22" s="19">
        <v>0</v>
      </c>
      <c r="W22" s="19">
        <v>1628.8</v>
      </c>
      <c r="X22" s="19">
        <v>0</v>
      </c>
      <c r="Y22" s="19">
        <f>AB22</f>
        <v>0</v>
      </c>
      <c r="Z22" s="19"/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</row>
    <row r="23" spans="1:39" s="2" customFormat="1" ht="68.25" hidden="1" customHeight="1" outlineLevel="4" x14ac:dyDescent="0.25">
      <c r="A23" s="8" t="s">
        <v>474</v>
      </c>
      <c r="B23" s="128" t="s">
        <v>925</v>
      </c>
      <c r="C23" s="26" t="s">
        <v>32</v>
      </c>
      <c r="D23" s="26" t="s">
        <v>118</v>
      </c>
      <c r="E23" s="20">
        <f t="shared" ref="E23" si="16">SUM(F23:I23)</f>
        <v>1500</v>
      </c>
      <c r="F23" s="38">
        <f t="shared" ref="F23" si="17">K23+P23+U23+Z23+AE23+AJ23</f>
        <v>0</v>
      </c>
      <c r="G23" s="38">
        <f t="shared" ref="G23" si="18">L23+Q23+V23+AA23+AF23+AK23</f>
        <v>0</v>
      </c>
      <c r="H23" s="38">
        <f t="shared" ref="H23" si="19">M23+R23+W23+AB23+AG23+AL23</f>
        <v>1500</v>
      </c>
      <c r="I23" s="38">
        <f t="shared" ref="I23" si="20">N23+S23+X23+AC23+AH23+AM23</f>
        <v>0</v>
      </c>
      <c r="J23" s="18">
        <f t="shared" ref="J23" si="21">SUM(K23:N23)</f>
        <v>0</v>
      </c>
      <c r="K23" s="19">
        <v>0</v>
      </c>
      <c r="L23" s="19">
        <v>0</v>
      </c>
      <c r="M23" s="19">
        <v>0</v>
      </c>
      <c r="N23" s="19">
        <v>0</v>
      </c>
      <c r="O23" s="18">
        <f t="shared" ref="O23" si="22">R23</f>
        <v>0</v>
      </c>
      <c r="P23" s="19">
        <v>0</v>
      </c>
      <c r="Q23" s="19">
        <v>0</v>
      </c>
      <c r="R23" s="112">
        <v>0</v>
      </c>
      <c r="S23" s="19">
        <v>0</v>
      </c>
      <c r="T23" s="18">
        <f>W23</f>
        <v>1500</v>
      </c>
      <c r="U23" s="19"/>
      <c r="V23" s="19">
        <v>0</v>
      </c>
      <c r="W23" s="19">
        <v>1500</v>
      </c>
      <c r="X23" s="19">
        <v>0</v>
      </c>
      <c r="Y23" s="19">
        <f>AB23</f>
        <v>0</v>
      </c>
      <c r="Z23" s="19"/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</row>
    <row r="24" spans="1:39" s="5" customFormat="1" ht="36" hidden="1" customHeight="1" outlineLevel="3" x14ac:dyDescent="0.25">
      <c r="A24" s="39" t="s">
        <v>138</v>
      </c>
      <c r="B24" s="212" t="s">
        <v>536</v>
      </c>
      <c r="C24" s="213"/>
      <c r="D24" s="195"/>
      <c r="E24" s="18">
        <f t="shared" ref="E24:AM24" si="23">SUM(E25:E77)</f>
        <v>90687.099999999991</v>
      </c>
      <c r="F24" s="18">
        <f t="shared" si="23"/>
        <v>0</v>
      </c>
      <c r="G24" s="18">
        <f t="shared" si="23"/>
        <v>0</v>
      </c>
      <c r="H24" s="18">
        <f t="shared" si="23"/>
        <v>90687.099999999991</v>
      </c>
      <c r="I24" s="18">
        <f t="shared" si="23"/>
        <v>0</v>
      </c>
      <c r="J24" s="18">
        <f t="shared" si="23"/>
        <v>24743.200000000001</v>
      </c>
      <c r="K24" s="18">
        <f t="shared" si="23"/>
        <v>0</v>
      </c>
      <c r="L24" s="18">
        <f t="shared" si="23"/>
        <v>0</v>
      </c>
      <c r="M24" s="18">
        <f t="shared" si="23"/>
        <v>24743.200000000001</v>
      </c>
      <c r="N24" s="18">
        <f t="shared" si="23"/>
        <v>0</v>
      </c>
      <c r="O24" s="40">
        <f t="shared" si="23"/>
        <v>33314.5</v>
      </c>
      <c r="P24" s="40">
        <f t="shared" si="23"/>
        <v>0</v>
      </c>
      <c r="Q24" s="40">
        <f t="shared" si="23"/>
        <v>0</v>
      </c>
      <c r="R24" s="40">
        <f t="shared" si="23"/>
        <v>33314.5</v>
      </c>
      <c r="S24" s="18">
        <f t="shared" si="23"/>
        <v>0</v>
      </c>
      <c r="T24" s="18">
        <f t="shared" si="23"/>
        <v>32629.399999999998</v>
      </c>
      <c r="U24" s="18">
        <f t="shared" si="23"/>
        <v>0</v>
      </c>
      <c r="V24" s="18">
        <f t="shared" si="23"/>
        <v>0</v>
      </c>
      <c r="W24" s="18">
        <f t="shared" si="23"/>
        <v>32629.399999999998</v>
      </c>
      <c r="X24" s="18">
        <f t="shared" si="23"/>
        <v>0</v>
      </c>
      <c r="Y24" s="18">
        <f t="shared" si="23"/>
        <v>0</v>
      </c>
      <c r="Z24" s="18">
        <f t="shared" si="23"/>
        <v>0</v>
      </c>
      <c r="AA24" s="18">
        <f t="shared" si="23"/>
        <v>0</v>
      </c>
      <c r="AB24" s="18">
        <f t="shared" si="23"/>
        <v>0</v>
      </c>
      <c r="AC24" s="18">
        <f t="shared" si="23"/>
        <v>0</v>
      </c>
      <c r="AD24" s="18">
        <f t="shared" si="23"/>
        <v>0</v>
      </c>
      <c r="AE24" s="18">
        <f t="shared" si="23"/>
        <v>0</v>
      </c>
      <c r="AF24" s="18">
        <f t="shared" si="23"/>
        <v>0</v>
      </c>
      <c r="AG24" s="18">
        <f t="shared" si="23"/>
        <v>0</v>
      </c>
      <c r="AH24" s="18">
        <f t="shared" si="23"/>
        <v>0</v>
      </c>
      <c r="AI24" s="18">
        <f t="shared" si="23"/>
        <v>0</v>
      </c>
      <c r="AJ24" s="18">
        <f t="shared" si="23"/>
        <v>0</v>
      </c>
      <c r="AK24" s="18">
        <f t="shared" si="23"/>
        <v>0</v>
      </c>
      <c r="AL24" s="18">
        <f t="shared" si="23"/>
        <v>0</v>
      </c>
      <c r="AM24" s="18">
        <f t="shared" si="23"/>
        <v>0</v>
      </c>
    </row>
    <row r="25" spans="1:39" s="2" customFormat="1" ht="78.75" hidden="1" outlineLevel="4" x14ac:dyDescent="0.25">
      <c r="A25" s="8" t="s">
        <v>139</v>
      </c>
      <c r="B25" s="25" t="s">
        <v>46</v>
      </c>
      <c r="C25" s="26" t="s">
        <v>376</v>
      </c>
      <c r="D25" s="26" t="s">
        <v>118</v>
      </c>
      <c r="E25" s="20">
        <f t="shared" ref="E25:E34" si="24">SUM(F25:I25)</f>
        <v>3359.3</v>
      </c>
      <c r="F25" s="38">
        <f t="shared" ref="F25:F32" si="25">K25+P25+U25</f>
        <v>0</v>
      </c>
      <c r="G25" s="38">
        <f t="shared" ref="G25:G59" si="26">L25+Q25+V25+AA25+AF25+AK25</f>
        <v>0</v>
      </c>
      <c r="H25" s="38">
        <f t="shared" ref="H25:H59" si="27">M25+R25+W25+AB25+AG25+AL25</f>
        <v>3359.3</v>
      </c>
      <c r="I25" s="38">
        <f t="shared" ref="I25:I59" si="28">N25+S25+X25+AC25+AH25+AM25</f>
        <v>0</v>
      </c>
      <c r="J25" s="18">
        <f t="shared" ref="J25:J59" si="29">SUM(K25:N25)</f>
        <v>3359.3</v>
      </c>
      <c r="K25" s="19">
        <v>0</v>
      </c>
      <c r="L25" s="19">
        <v>0</v>
      </c>
      <c r="M25" s="19">
        <f>3245.4+113.9</f>
        <v>3359.3</v>
      </c>
      <c r="N25" s="19">
        <v>0</v>
      </c>
      <c r="O25" s="18">
        <f t="shared" ref="O25:O59" si="30">SUM(P25:S25)</f>
        <v>0</v>
      </c>
      <c r="P25" s="19">
        <v>0</v>
      </c>
      <c r="Q25" s="19">
        <v>0</v>
      </c>
      <c r="R25" s="19">
        <v>0</v>
      </c>
      <c r="S25" s="19">
        <v>0</v>
      </c>
      <c r="T25" s="18">
        <f t="shared" ref="T25:T59" si="31">SUM(U25:X25)</f>
        <v>0</v>
      </c>
      <c r="U25" s="19">
        <v>0</v>
      </c>
      <c r="V25" s="19">
        <v>0</v>
      </c>
      <c r="W25" s="19">
        <v>0</v>
      </c>
      <c r="X25" s="19">
        <v>0</v>
      </c>
      <c r="Y25" s="18">
        <f t="shared" ref="Y25:Y75" si="32">SUM(Z25:AC25)</f>
        <v>0</v>
      </c>
      <c r="Z25" s="19">
        <v>0</v>
      </c>
      <c r="AA25" s="19">
        <v>0</v>
      </c>
      <c r="AB25" s="19">
        <v>0</v>
      </c>
      <c r="AC25" s="19">
        <v>0</v>
      </c>
      <c r="AD25" s="18">
        <f t="shared" ref="AD25:AD59" si="33">SUM(AE25:AH25)</f>
        <v>0</v>
      </c>
      <c r="AE25" s="19">
        <v>0</v>
      </c>
      <c r="AF25" s="19">
        <v>0</v>
      </c>
      <c r="AG25" s="19">
        <v>0</v>
      </c>
      <c r="AH25" s="19">
        <v>0</v>
      </c>
      <c r="AI25" s="18">
        <f t="shared" ref="AI25:AI59" si="34">SUM(AJ25:AM25)</f>
        <v>0</v>
      </c>
      <c r="AJ25" s="19">
        <v>0</v>
      </c>
      <c r="AK25" s="19">
        <v>0</v>
      </c>
      <c r="AL25" s="19">
        <v>0</v>
      </c>
      <c r="AM25" s="19">
        <v>0</v>
      </c>
    </row>
    <row r="26" spans="1:39" s="2" customFormat="1" ht="63" hidden="1" outlineLevel="4" x14ac:dyDescent="0.25">
      <c r="A26" s="8" t="s">
        <v>140</v>
      </c>
      <c r="B26" s="25" t="s">
        <v>47</v>
      </c>
      <c r="C26" s="26" t="s">
        <v>31</v>
      </c>
      <c r="D26" s="26" t="s">
        <v>118</v>
      </c>
      <c r="E26" s="20">
        <f t="shared" si="24"/>
        <v>633.79999999999995</v>
      </c>
      <c r="F26" s="38">
        <f t="shared" si="25"/>
        <v>0</v>
      </c>
      <c r="G26" s="38">
        <f t="shared" si="26"/>
        <v>0</v>
      </c>
      <c r="H26" s="38">
        <f t="shared" si="27"/>
        <v>633.79999999999995</v>
      </c>
      <c r="I26" s="38">
        <f t="shared" si="28"/>
        <v>0</v>
      </c>
      <c r="J26" s="18">
        <f t="shared" si="29"/>
        <v>633.79999999999995</v>
      </c>
      <c r="K26" s="19">
        <v>0</v>
      </c>
      <c r="L26" s="19">
        <v>0</v>
      </c>
      <c r="M26" s="19">
        <v>633.79999999999995</v>
      </c>
      <c r="N26" s="19">
        <v>0</v>
      </c>
      <c r="O26" s="18">
        <f t="shared" si="30"/>
        <v>0</v>
      </c>
      <c r="P26" s="19">
        <v>0</v>
      </c>
      <c r="Q26" s="19">
        <v>0</v>
      </c>
      <c r="R26" s="19">
        <v>0</v>
      </c>
      <c r="S26" s="19">
        <v>0</v>
      </c>
      <c r="T26" s="18">
        <f t="shared" si="31"/>
        <v>0</v>
      </c>
      <c r="U26" s="19">
        <v>0</v>
      </c>
      <c r="V26" s="19">
        <v>0</v>
      </c>
      <c r="W26" s="19">
        <v>0</v>
      </c>
      <c r="X26" s="19">
        <v>0</v>
      </c>
      <c r="Y26" s="18">
        <f t="shared" si="32"/>
        <v>0</v>
      </c>
      <c r="Z26" s="19">
        <v>0</v>
      </c>
      <c r="AA26" s="19">
        <v>0</v>
      </c>
      <c r="AB26" s="19">
        <v>0</v>
      </c>
      <c r="AC26" s="19">
        <v>0</v>
      </c>
      <c r="AD26" s="18">
        <f t="shared" si="33"/>
        <v>0</v>
      </c>
      <c r="AE26" s="19">
        <v>0</v>
      </c>
      <c r="AF26" s="19">
        <v>0</v>
      </c>
      <c r="AG26" s="19">
        <v>0</v>
      </c>
      <c r="AH26" s="19">
        <v>0</v>
      </c>
      <c r="AI26" s="18">
        <f t="shared" si="34"/>
        <v>0</v>
      </c>
      <c r="AJ26" s="19">
        <v>0</v>
      </c>
      <c r="AK26" s="19">
        <v>0</v>
      </c>
      <c r="AL26" s="19">
        <v>0</v>
      </c>
      <c r="AM26" s="19">
        <v>0</v>
      </c>
    </row>
    <row r="27" spans="1:39" s="2" customFormat="1" ht="47.25" hidden="1" outlineLevel="4" x14ac:dyDescent="0.25">
      <c r="A27" s="8" t="s">
        <v>141</v>
      </c>
      <c r="B27" s="25" t="s">
        <v>70</v>
      </c>
      <c r="C27" s="26" t="s">
        <v>31</v>
      </c>
      <c r="D27" s="26" t="s">
        <v>118</v>
      </c>
      <c r="E27" s="20">
        <f t="shared" si="24"/>
        <v>1684.6000000000001</v>
      </c>
      <c r="F27" s="38">
        <f t="shared" si="25"/>
        <v>0</v>
      </c>
      <c r="G27" s="38">
        <f t="shared" si="26"/>
        <v>0</v>
      </c>
      <c r="H27" s="38">
        <f t="shared" si="27"/>
        <v>1684.6000000000001</v>
      </c>
      <c r="I27" s="38">
        <f t="shared" si="28"/>
        <v>0</v>
      </c>
      <c r="J27" s="18">
        <f t="shared" si="29"/>
        <v>1684.6000000000001</v>
      </c>
      <c r="K27" s="19">
        <v>0</v>
      </c>
      <c r="L27" s="19">
        <v>0</v>
      </c>
      <c r="M27" s="19">
        <f>2196.9-395-117.3</f>
        <v>1684.6000000000001</v>
      </c>
      <c r="N27" s="19">
        <v>0</v>
      </c>
      <c r="O27" s="18">
        <f t="shared" si="30"/>
        <v>0</v>
      </c>
      <c r="P27" s="19">
        <v>0</v>
      </c>
      <c r="Q27" s="19">
        <v>0</v>
      </c>
      <c r="R27" s="19">
        <v>0</v>
      </c>
      <c r="S27" s="19">
        <v>0</v>
      </c>
      <c r="T27" s="18">
        <f t="shared" si="31"/>
        <v>0</v>
      </c>
      <c r="U27" s="19">
        <v>0</v>
      </c>
      <c r="V27" s="19">
        <v>0</v>
      </c>
      <c r="W27" s="19">
        <v>0</v>
      </c>
      <c r="X27" s="19">
        <v>0</v>
      </c>
      <c r="Y27" s="18">
        <f t="shared" si="32"/>
        <v>0</v>
      </c>
      <c r="Z27" s="19">
        <v>0</v>
      </c>
      <c r="AA27" s="19">
        <v>0</v>
      </c>
      <c r="AB27" s="19">
        <v>0</v>
      </c>
      <c r="AC27" s="19">
        <v>0</v>
      </c>
      <c r="AD27" s="18">
        <f t="shared" si="33"/>
        <v>0</v>
      </c>
      <c r="AE27" s="19">
        <v>0</v>
      </c>
      <c r="AF27" s="19">
        <v>0</v>
      </c>
      <c r="AG27" s="19">
        <v>0</v>
      </c>
      <c r="AH27" s="19">
        <v>0</v>
      </c>
      <c r="AI27" s="18">
        <f t="shared" si="34"/>
        <v>0</v>
      </c>
      <c r="AJ27" s="19">
        <v>0</v>
      </c>
      <c r="AK27" s="19">
        <v>0</v>
      </c>
      <c r="AL27" s="19">
        <v>0</v>
      </c>
      <c r="AM27" s="19">
        <v>0</v>
      </c>
    </row>
    <row r="28" spans="1:39" s="2" customFormat="1" ht="78.75" hidden="1" outlineLevel="4" x14ac:dyDescent="0.25">
      <c r="A28" s="8" t="s">
        <v>142</v>
      </c>
      <c r="B28" s="25" t="s">
        <v>48</v>
      </c>
      <c r="C28" s="26" t="s">
        <v>376</v>
      </c>
      <c r="D28" s="26" t="s">
        <v>118</v>
      </c>
      <c r="E28" s="20">
        <f t="shared" si="24"/>
        <v>1846.6</v>
      </c>
      <c r="F28" s="38">
        <f t="shared" si="25"/>
        <v>0</v>
      </c>
      <c r="G28" s="38">
        <f t="shared" si="26"/>
        <v>0</v>
      </c>
      <c r="H28" s="38">
        <f t="shared" si="27"/>
        <v>1846.6</v>
      </c>
      <c r="I28" s="38">
        <f t="shared" si="28"/>
        <v>0</v>
      </c>
      <c r="J28" s="18">
        <f t="shared" si="29"/>
        <v>1846.6</v>
      </c>
      <c r="K28" s="19">
        <v>0</v>
      </c>
      <c r="L28" s="19">
        <v>0</v>
      </c>
      <c r="M28" s="19">
        <f>395+1720-268.4</f>
        <v>1846.6</v>
      </c>
      <c r="N28" s="19">
        <v>0</v>
      </c>
      <c r="O28" s="18">
        <f t="shared" si="30"/>
        <v>0</v>
      </c>
      <c r="P28" s="19">
        <v>0</v>
      </c>
      <c r="Q28" s="19">
        <v>0</v>
      </c>
      <c r="R28" s="19">
        <v>0</v>
      </c>
      <c r="S28" s="19">
        <v>0</v>
      </c>
      <c r="T28" s="18">
        <f t="shared" si="31"/>
        <v>0</v>
      </c>
      <c r="U28" s="19">
        <v>0</v>
      </c>
      <c r="V28" s="19">
        <v>0</v>
      </c>
      <c r="W28" s="19">
        <v>0</v>
      </c>
      <c r="X28" s="19">
        <v>0</v>
      </c>
      <c r="Y28" s="18">
        <f t="shared" si="32"/>
        <v>0</v>
      </c>
      <c r="Z28" s="19">
        <v>0</v>
      </c>
      <c r="AA28" s="19">
        <v>0</v>
      </c>
      <c r="AB28" s="19">
        <v>0</v>
      </c>
      <c r="AC28" s="19">
        <v>0</v>
      </c>
      <c r="AD28" s="18">
        <f t="shared" si="33"/>
        <v>0</v>
      </c>
      <c r="AE28" s="19">
        <v>0</v>
      </c>
      <c r="AF28" s="19">
        <v>0</v>
      </c>
      <c r="AG28" s="19">
        <v>0</v>
      </c>
      <c r="AH28" s="19">
        <v>0</v>
      </c>
      <c r="AI28" s="18">
        <f t="shared" si="34"/>
        <v>0</v>
      </c>
      <c r="AJ28" s="19">
        <v>0</v>
      </c>
      <c r="AK28" s="19">
        <v>0</v>
      </c>
      <c r="AL28" s="19">
        <v>0</v>
      </c>
      <c r="AM28" s="19">
        <v>0</v>
      </c>
    </row>
    <row r="29" spans="1:39" s="2" customFormat="1" ht="78.75" hidden="1" outlineLevel="4" x14ac:dyDescent="0.25">
      <c r="A29" s="8" t="s">
        <v>143</v>
      </c>
      <c r="B29" s="25" t="s">
        <v>71</v>
      </c>
      <c r="C29" s="26" t="s">
        <v>376</v>
      </c>
      <c r="D29" s="26" t="s">
        <v>118</v>
      </c>
      <c r="E29" s="20">
        <f t="shared" si="24"/>
        <v>3989.8</v>
      </c>
      <c r="F29" s="38">
        <f t="shared" si="25"/>
        <v>0</v>
      </c>
      <c r="G29" s="38">
        <f t="shared" si="26"/>
        <v>0</v>
      </c>
      <c r="H29" s="38">
        <f t="shared" si="27"/>
        <v>3989.8</v>
      </c>
      <c r="I29" s="38">
        <f t="shared" si="28"/>
        <v>0</v>
      </c>
      <c r="J29" s="18">
        <f t="shared" si="29"/>
        <v>3989.8</v>
      </c>
      <c r="K29" s="19">
        <v>0</v>
      </c>
      <c r="L29" s="19">
        <v>0</v>
      </c>
      <c r="M29" s="19">
        <f>3495.9+493.9</f>
        <v>3989.8</v>
      </c>
      <c r="N29" s="19">
        <v>0</v>
      </c>
      <c r="O29" s="18">
        <f t="shared" si="30"/>
        <v>0</v>
      </c>
      <c r="P29" s="19">
        <v>0</v>
      </c>
      <c r="Q29" s="19">
        <v>0</v>
      </c>
      <c r="R29" s="19">
        <v>0</v>
      </c>
      <c r="S29" s="19">
        <v>0</v>
      </c>
      <c r="T29" s="18">
        <f t="shared" si="31"/>
        <v>0</v>
      </c>
      <c r="U29" s="19">
        <v>0</v>
      </c>
      <c r="V29" s="19">
        <v>0</v>
      </c>
      <c r="W29" s="19">
        <v>0</v>
      </c>
      <c r="X29" s="19">
        <v>0</v>
      </c>
      <c r="Y29" s="18">
        <f t="shared" si="32"/>
        <v>0</v>
      </c>
      <c r="Z29" s="19">
        <v>0</v>
      </c>
      <c r="AA29" s="19">
        <v>0</v>
      </c>
      <c r="AB29" s="19">
        <v>0</v>
      </c>
      <c r="AC29" s="19">
        <v>0</v>
      </c>
      <c r="AD29" s="18">
        <f t="shared" si="33"/>
        <v>0</v>
      </c>
      <c r="AE29" s="19">
        <v>0</v>
      </c>
      <c r="AF29" s="19">
        <v>0</v>
      </c>
      <c r="AG29" s="19">
        <v>0</v>
      </c>
      <c r="AH29" s="19">
        <v>0</v>
      </c>
      <c r="AI29" s="18">
        <f t="shared" si="34"/>
        <v>0</v>
      </c>
      <c r="AJ29" s="19">
        <v>0</v>
      </c>
      <c r="AK29" s="19">
        <v>0</v>
      </c>
      <c r="AL29" s="19">
        <v>0</v>
      </c>
      <c r="AM29" s="19">
        <v>0</v>
      </c>
    </row>
    <row r="30" spans="1:39" s="2" customFormat="1" ht="78.75" hidden="1" outlineLevel="4" x14ac:dyDescent="0.25">
      <c r="A30" s="8" t="s">
        <v>144</v>
      </c>
      <c r="B30" s="24" t="s">
        <v>286</v>
      </c>
      <c r="C30" s="26" t="s">
        <v>376</v>
      </c>
      <c r="D30" s="26" t="s">
        <v>8</v>
      </c>
      <c r="E30" s="20">
        <f t="shared" si="24"/>
        <v>4514.2</v>
      </c>
      <c r="F30" s="38">
        <f t="shared" si="25"/>
        <v>0</v>
      </c>
      <c r="G30" s="38">
        <f t="shared" si="26"/>
        <v>0</v>
      </c>
      <c r="H30" s="38">
        <f t="shared" si="27"/>
        <v>4514.2</v>
      </c>
      <c r="I30" s="38">
        <f t="shared" si="28"/>
        <v>0</v>
      </c>
      <c r="J30" s="18">
        <f t="shared" si="29"/>
        <v>1827.3</v>
      </c>
      <c r="K30" s="19">
        <v>0</v>
      </c>
      <c r="L30" s="19">
        <v>0</v>
      </c>
      <c r="M30" s="19">
        <f>1220.1+607.2</f>
        <v>1827.3</v>
      </c>
      <c r="N30" s="19">
        <v>0</v>
      </c>
      <c r="O30" s="18">
        <f t="shared" si="30"/>
        <v>2686.9</v>
      </c>
      <c r="P30" s="19">
        <v>0</v>
      </c>
      <c r="Q30" s="19">
        <v>0</v>
      </c>
      <c r="R30" s="19">
        <f>6500-3813.1</f>
        <v>2686.9</v>
      </c>
      <c r="S30" s="19">
        <v>0</v>
      </c>
      <c r="T30" s="18">
        <f t="shared" si="31"/>
        <v>0</v>
      </c>
      <c r="U30" s="19">
        <v>0</v>
      </c>
      <c r="V30" s="19">
        <v>0</v>
      </c>
      <c r="W30" s="19">
        <v>0</v>
      </c>
      <c r="X30" s="19">
        <v>0</v>
      </c>
      <c r="Y30" s="18">
        <f t="shared" si="32"/>
        <v>0</v>
      </c>
      <c r="Z30" s="19">
        <v>0</v>
      </c>
      <c r="AA30" s="19">
        <v>0</v>
      </c>
      <c r="AB30" s="19">
        <v>0</v>
      </c>
      <c r="AC30" s="19">
        <v>0</v>
      </c>
      <c r="AD30" s="18">
        <f t="shared" si="33"/>
        <v>0</v>
      </c>
      <c r="AE30" s="19">
        <v>0</v>
      </c>
      <c r="AF30" s="19">
        <v>0</v>
      </c>
      <c r="AG30" s="19">
        <v>0</v>
      </c>
      <c r="AH30" s="19">
        <v>0</v>
      </c>
      <c r="AI30" s="18">
        <f t="shared" si="34"/>
        <v>0</v>
      </c>
      <c r="AJ30" s="19">
        <v>0</v>
      </c>
      <c r="AK30" s="19">
        <v>0</v>
      </c>
      <c r="AL30" s="19">
        <v>0</v>
      </c>
      <c r="AM30" s="19">
        <v>0</v>
      </c>
    </row>
    <row r="31" spans="1:39" s="2" customFormat="1" ht="78.75" hidden="1" outlineLevel="4" x14ac:dyDescent="0.25">
      <c r="A31" s="8" t="s">
        <v>285</v>
      </c>
      <c r="B31" s="24" t="s">
        <v>288</v>
      </c>
      <c r="C31" s="26" t="s">
        <v>376</v>
      </c>
      <c r="D31" s="26" t="s">
        <v>8</v>
      </c>
      <c r="E31" s="20">
        <f t="shared" si="24"/>
        <v>2928.1</v>
      </c>
      <c r="F31" s="38">
        <f t="shared" si="25"/>
        <v>0</v>
      </c>
      <c r="G31" s="38">
        <f t="shared" si="26"/>
        <v>0</v>
      </c>
      <c r="H31" s="38">
        <f t="shared" si="27"/>
        <v>2928.1</v>
      </c>
      <c r="I31" s="38">
        <f t="shared" si="28"/>
        <v>0</v>
      </c>
      <c r="J31" s="18">
        <f t="shared" si="29"/>
        <v>2928.1</v>
      </c>
      <c r="K31" s="19">
        <v>0</v>
      </c>
      <c r="L31" s="19">
        <v>0</v>
      </c>
      <c r="M31" s="19">
        <f>3050.1-122</f>
        <v>2928.1</v>
      </c>
      <c r="N31" s="19">
        <v>0</v>
      </c>
      <c r="O31" s="18">
        <f t="shared" si="30"/>
        <v>0</v>
      </c>
      <c r="P31" s="19">
        <v>0</v>
      </c>
      <c r="Q31" s="19">
        <v>0</v>
      </c>
      <c r="R31" s="19">
        <v>0</v>
      </c>
      <c r="S31" s="19">
        <v>0</v>
      </c>
      <c r="T31" s="18">
        <f t="shared" si="31"/>
        <v>0</v>
      </c>
      <c r="U31" s="19">
        <v>0</v>
      </c>
      <c r="V31" s="19">
        <v>0</v>
      </c>
      <c r="W31" s="19">
        <v>0</v>
      </c>
      <c r="X31" s="19">
        <v>0</v>
      </c>
      <c r="Y31" s="18">
        <f t="shared" si="32"/>
        <v>0</v>
      </c>
      <c r="Z31" s="19">
        <v>0</v>
      </c>
      <c r="AA31" s="19">
        <v>0</v>
      </c>
      <c r="AB31" s="19">
        <v>0</v>
      </c>
      <c r="AC31" s="19">
        <v>0</v>
      </c>
      <c r="AD31" s="18">
        <f t="shared" si="33"/>
        <v>0</v>
      </c>
      <c r="AE31" s="19">
        <v>0</v>
      </c>
      <c r="AF31" s="19">
        <v>0</v>
      </c>
      <c r="AG31" s="19">
        <v>0</v>
      </c>
      <c r="AH31" s="19">
        <v>0</v>
      </c>
      <c r="AI31" s="18">
        <f t="shared" si="34"/>
        <v>0</v>
      </c>
      <c r="AJ31" s="19">
        <v>0</v>
      </c>
      <c r="AK31" s="19">
        <v>0</v>
      </c>
      <c r="AL31" s="19">
        <v>0</v>
      </c>
      <c r="AM31" s="19">
        <v>0</v>
      </c>
    </row>
    <row r="32" spans="1:39" s="2" customFormat="1" ht="78.75" hidden="1" outlineLevel="4" x14ac:dyDescent="0.25">
      <c r="A32" s="8" t="s">
        <v>287</v>
      </c>
      <c r="B32" s="24" t="s">
        <v>315</v>
      </c>
      <c r="C32" s="26" t="s">
        <v>376</v>
      </c>
      <c r="D32" s="26" t="s">
        <v>118</v>
      </c>
      <c r="E32" s="20">
        <f t="shared" si="24"/>
        <v>885.6</v>
      </c>
      <c r="F32" s="38">
        <f t="shared" si="25"/>
        <v>0</v>
      </c>
      <c r="G32" s="38">
        <f t="shared" si="26"/>
        <v>0</v>
      </c>
      <c r="H32" s="38">
        <f t="shared" si="27"/>
        <v>885.6</v>
      </c>
      <c r="I32" s="38">
        <f t="shared" si="28"/>
        <v>0</v>
      </c>
      <c r="J32" s="18">
        <f t="shared" si="29"/>
        <v>885.6</v>
      </c>
      <c r="K32" s="19">
        <v>0</v>
      </c>
      <c r="L32" s="19">
        <v>0</v>
      </c>
      <c r="M32" s="19">
        <f>890-4.4</f>
        <v>885.6</v>
      </c>
      <c r="N32" s="19">
        <v>0</v>
      </c>
      <c r="O32" s="18">
        <f t="shared" si="30"/>
        <v>0</v>
      </c>
      <c r="P32" s="19">
        <v>0</v>
      </c>
      <c r="Q32" s="19">
        <v>0</v>
      </c>
      <c r="R32" s="19">
        <v>0</v>
      </c>
      <c r="S32" s="19">
        <v>0</v>
      </c>
      <c r="T32" s="18">
        <f t="shared" si="31"/>
        <v>0</v>
      </c>
      <c r="U32" s="19">
        <v>0</v>
      </c>
      <c r="V32" s="19">
        <v>0</v>
      </c>
      <c r="W32" s="19">
        <v>0</v>
      </c>
      <c r="X32" s="19">
        <v>0</v>
      </c>
      <c r="Y32" s="18">
        <f t="shared" si="32"/>
        <v>0</v>
      </c>
      <c r="Z32" s="19">
        <v>0</v>
      </c>
      <c r="AA32" s="19">
        <v>0</v>
      </c>
      <c r="AB32" s="19">
        <v>0</v>
      </c>
      <c r="AC32" s="19">
        <v>0</v>
      </c>
      <c r="AD32" s="18">
        <f t="shared" si="33"/>
        <v>0</v>
      </c>
      <c r="AE32" s="19">
        <v>0</v>
      </c>
      <c r="AF32" s="19">
        <v>0</v>
      </c>
      <c r="AG32" s="19">
        <v>0</v>
      </c>
      <c r="AH32" s="19">
        <v>0</v>
      </c>
      <c r="AI32" s="18">
        <f t="shared" si="34"/>
        <v>0</v>
      </c>
      <c r="AJ32" s="19">
        <v>0</v>
      </c>
      <c r="AK32" s="19">
        <v>0</v>
      </c>
      <c r="AL32" s="19">
        <v>0</v>
      </c>
      <c r="AM32" s="19">
        <v>0</v>
      </c>
    </row>
    <row r="33" spans="1:39" s="2" customFormat="1" ht="78.75" hidden="1" outlineLevel="4" x14ac:dyDescent="0.25">
      <c r="A33" s="8" t="s">
        <v>314</v>
      </c>
      <c r="B33" s="24" t="s">
        <v>331</v>
      </c>
      <c r="C33" s="26" t="s">
        <v>376</v>
      </c>
      <c r="D33" s="26" t="s">
        <v>118</v>
      </c>
      <c r="E33" s="20">
        <f t="shared" si="24"/>
        <v>127.1</v>
      </c>
      <c r="F33" s="38">
        <f t="shared" ref="F33:F40" si="35">K33+P33+U33</f>
        <v>0</v>
      </c>
      <c r="G33" s="38">
        <f t="shared" si="26"/>
        <v>0</v>
      </c>
      <c r="H33" s="38">
        <f t="shared" si="27"/>
        <v>127.1</v>
      </c>
      <c r="I33" s="38">
        <f t="shared" si="28"/>
        <v>0</v>
      </c>
      <c r="J33" s="18">
        <f t="shared" si="29"/>
        <v>127.1</v>
      </c>
      <c r="K33" s="19">
        <v>0</v>
      </c>
      <c r="L33" s="19">
        <v>0</v>
      </c>
      <c r="M33" s="19">
        <v>127.1</v>
      </c>
      <c r="N33" s="19">
        <v>0</v>
      </c>
      <c r="O33" s="18">
        <f t="shared" si="30"/>
        <v>0</v>
      </c>
      <c r="P33" s="19">
        <v>0</v>
      </c>
      <c r="Q33" s="19">
        <v>0</v>
      </c>
      <c r="R33" s="19">
        <v>0</v>
      </c>
      <c r="S33" s="19">
        <v>0</v>
      </c>
      <c r="T33" s="18">
        <f t="shared" si="31"/>
        <v>0</v>
      </c>
      <c r="U33" s="19">
        <v>0</v>
      </c>
      <c r="V33" s="19">
        <v>0</v>
      </c>
      <c r="W33" s="19">
        <v>0</v>
      </c>
      <c r="X33" s="19">
        <v>0</v>
      </c>
      <c r="Y33" s="18">
        <f t="shared" si="32"/>
        <v>0</v>
      </c>
      <c r="Z33" s="19">
        <v>0</v>
      </c>
      <c r="AA33" s="19">
        <v>0</v>
      </c>
      <c r="AB33" s="19">
        <v>0</v>
      </c>
      <c r="AC33" s="19">
        <v>0</v>
      </c>
      <c r="AD33" s="18">
        <f t="shared" si="33"/>
        <v>0</v>
      </c>
      <c r="AE33" s="19">
        <v>0</v>
      </c>
      <c r="AF33" s="19">
        <v>0</v>
      </c>
      <c r="AG33" s="19">
        <v>0</v>
      </c>
      <c r="AH33" s="19">
        <v>0</v>
      </c>
      <c r="AI33" s="18">
        <f t="shared" si="34"/>
        <v>0</v>
      </c>
      <c r="AJ33" s="19">
        <v>0</v>
      </c>
      <c r="AK33" s="19">
        <v>0</v>
      </c>
      <c r="AL33" s="19">
        <v>0</v>
      </c>
      <c r="AM33" s="19">
        <v>0</v>
      </c>
    </row>
    <row r="34" spans="1:39" s="2" customFormat="1" ht="78.75" hidden="1" outlineLevel="4" x14ac:dyDescent="0.25">
      <c r="A34" s="8" t="s">
        <v>329</v>
      </c>
      <c r="B34" s="24" t="s">
        <v>332</v>
      </c>
      <c r="C34" s="26" t="s">
        <v>376</v>
      </c>
      <c r="D34" s="26" t="s">
        <v>118</v>
      </c>
      <c r="E34" s="20">
        <f t="shared" si="24"/>
        <v>706.6</v>
      </c>
      <c r="F34" s="38">
        <f t="shared" si="35"/>
        <v>0</v>
      </c>
      <c r="G34" s="38">
        <f t="shared" si="26"/>
        <v>0</v>
      </c>
      <c r="H34" s="38">
        <f t="shared" si="27"/>
        <v>706.6</v>
      </c>
      <c r="I34" s="38">
        <f t="shared" si="28"/>
        <v>0</v>
      </c>
      <c r="J34" s="18">
        <f t="shared" si="29"/>
        <v>706.6</v>
      </c>
      <c r="K34" s="19">
        <v>0</v>
      </c>
      <c r="L34" s="19">
        <v>0</v>
      </c>
      <c r="M34" s="19">
        <f>955-248.4</f>
        <v>706.6</v>
      </c>
      <c r="N34" s="19">
        <v>0</v>
      </c>
      <c r="O34" s="18">
        <f t="shared" si="30"/>
        <v>0</v>
      </c>
      <c r="P34" s="19">
        <v>0</v>
      </c>
      <c r="Q34" s="19">
        <v>0</v>
      </c>
      <c r="R34" s="19">
        <v>0</v>
      </c>
      <c r="S34" s="19">
        <v>0</v>
      </c>
      <c r="T34" s="18">
        <f t="shared" si="31"/>
        <v>0</v>
      </c>
      <c r="U34" s="19">
        <v>0</v>
      </c>
      <c r="V34" s="19">
        <v>0</v>
      </c>
      <c r="W34" s="19">
        <v>0</v>
      </c>
      <c r="X34" s="19">
        <v>0</v>
      </c>
      <c r="Y34" s="18">
        <f t="shared" si="32"/>
        <v>0</v>
      </c>
      <c r="Z34" s="19">
        <v>0</v>
      </c>
      <c r="AA34" s="19">
        <v>0</v>
      </c>
      <c r="AB34" s="19">
        <v>0</v>
      </c>
      <c r="AC34" s="19">
        <v>0</v>
      </c>
      <c r="AD34" s="18">
        <f t="shared" si="33"/>
        <v>0</v>
      </c>
      <c r="AE34" s="19">
        <v>0</v>
      </c>
      <c r="AF34" s="19">
        <v>0</v>
      </c>
      <c r="AG34" s="19">
        <v>0</v>
      </c>
      <c r="AH34" s="19">
        <v>0</v>
      </c>
      <c r="AI34" s="18">
        <f t="shared" si="34"/>
        <v>0</v>
      </c>
      <c r="AJ34" s="19">
        <v>0</v>
      </c>
      <c r="AK34" s="19">
        <v>0</v>
      </c>
      <c r="AL34" s="19">
        <v>0</v>
      </c>
      <c r="AM34" s="19">
        <v>0</v>
      </c>
    </row>
    <row r="35" spans="1:39" s="2" customFormat="1" ht="78.75" hidden="1" outlineLevel="4" x14ac:dyDescent="0.25">
      <c r="A35" s="8" t="s">
        <v>330</v>
      </c>
      <c r="B35" s="41" t="s">
        <v>345</v>
      </c>
      <c r="C35" s="26" t="s">
        <v>376</v>
      </c>
      <c r="D35" s="26" t="s">
        <v>8</v>
      </c>
      <c r="E35" s="20">
        <f>H35</f>
        <v>2410</v>
      </c>
      <c r="F35" s="38">
        <f t="shared" si="35"/>
        <v>0</v>
      </c>
      <c r="G35" s="38">
        <f t="shared" si="26"/>
        <v>0</v>
      </c>
      <c r="H35" s="38">
        <f t="shared" si="27"/>
        <v>2410</v>
      </c>
      <c r="I35" s="38">
        <f t="shared" si="28"/>
        <v>0</v>
      </c>
      <c r="J35" s="18">
        <f t="shared" si="29"/>
        <v>154.69999999999999</v>
      </c>
      <c r="K35" s="19">
        <v>0</v>
      </c>
      <c r="L35" s="19">
        <v>0</v>
      </c>
      <c r="M35" s="19">
        <v>154.69999999999999</v>
      </c>
      <c r="N35" s="19">
        <v>0</v>
      </c>
      <c r="O35" s="18">
        <f t="shared" si="30"/>
        <v>2255.3000000000002</v>
      </c>
      <c r="P35" s="19">
        <v>0</v>
      </c>
      <c r="Q35" s="19">
        <v>0</v>
      </c>
      <c r="R35" s="19">
        <f>6597.2-4116.4-225.5</f>
        <v>2255.3000000000002</v>
      </c>
      <c r="S35" s="19">
        <v>0</v>
      </c>
      <c r="T35" s="18">
        <f t="shared" si="31"/>
        <v>0</v>
      </c>
      <c r="U35" s="19">
        <v>0</v>
      </c>
      <c r="V35" s="19">
        <v>0</v>
      </c>
      <c r="W35" s="19">
        <v>0</v>
      </c>
      <c r="X35" s="19">
        <v>0</v>
      </c>
      <c r="Y35" s="18">
        <f t="shared" si="32"/>
        <v>0</v>
      </c>
      <c r="Z35" s="19">
        <v>0</v>
      </c>
      <c r="AA35" s="19">
        <v>0</v>
      </c>
      <c r="AB35" s="19">
        <v>0</v>
      </c>
      <c r="AC35" s="19">
        <v>0</v>
      </c>
      <c r="AD35" s="18">
        <f t="shared" si="33"/>
        <v>0</v>
      </c>
      <c r="AE35" s="19">
        <v>0</v>
      </c>
      <c r="AF35" s="19">
        <v>0</v>
      </c>
      <c r="AG35" s="19">
        <v>0</v>
      </c>
      <c r="AH35" s="19">
        <v>0</v>
      </c>
      <c r="AI35" s="18">
        <f t="shared" si="34"/>
        <v>0</v>
      </c>
      <c r="AJ35" s="19">
        <v>0</v>
      </c>
      <c r="AK35" s="19">
        <v>0</v>
      </c>
      <c r="AL35" s="19">
        <v>0</v>
      </c>
      <c r="AM35" s="19">
        <v>0</v>
      </c>
    </row>
    <row r="36" spans="1:39" s="2" customFormat="1" ht="78.75" hidden="1" outlineLevel="4" x14ac:dyDescent="0.25">
      <c r="A36" s="8" t="s">
        <v>337</v>
      </c>
      <c r="B36" s="41" t="s">
        <v>346</v>
      </c>
      <c r="C36" s="26" t="s">
        <v>376</v>
      </c>
      <c r="D36" s="26" t="s">
        <v>118</v>
      </c>
      <c r="E36" s="20">
        <f t="shared" ref="E36:E47" si="36">H36</f>
        <v>2667.5</v>
      </c>
      <c r="F36" s="38">
        <f t="shared" si="35"/>
        <v>0</v>
      </c>
      <c r="G36" s="38">
        <f t="shared" si="26"/>
        <v>0</v>
      </c>
      <c r="H36" s="38">
        <f t="shared" si="27"/>
        <v>2667.5</v>
      </c>
      <c r="I36" s="38">
        <f t="shared" si="28"/>
        <v>0</v>
      </c>
      <c r="J36" s="18">
        <f t="shared" si="29"/>
        <v>2667.5</v>
      </c>
      <c r="K36" s="19">
        <v>0</v>
      </c>
      <c r="L36" s="19">
        <v>0</v>
      </c>
      <c r="M36" s="19">
        <f>2680.9-13.4</f>
        <v>2667.5</v>
      </c>
      <c r="N36" s="19">
        <v>0</v>
      </c>
      <c r="O36" s="18">
        <f t="shared" si="30"/>
        <v>0</v>
      </c>
      <c r="P36" s="19">
        <v>0</v>
      </c>
      <c r="Q36" s="19">
        <v>0</v>
      </c>
      <c r="R36" s="19">
        <v>0</v>
      </c>
      <c r="S36" s="19">
        <v>0</v>
      </c>
      <c r="T36" s="18">
        <f t="shared" si="31"/>
        <v>0</v>
      </c>
      <c r="U36" s="19">
        <v>0</v>
      </c>
      <c r="V36" s="19">
        <v>0</v>
      </c>
      <c r="W36" s="19">
        <v>0</v>
      </c>
      <c r="X36" s="19">
        <v>0</v>
      </c>
      <c r="Y36" s="18">
        <f t="shared" si="32"/>
        <v>0</v>
      </c>
      <c r="Z36" s="19">
        <v>0</v>
      </c>
      <c r="AA36" s="19">
        <v>0</v>
      </c>
      <c r="AB36" s="19">
        <v>0</v>
      </c>
      <c r="AC36" s="19">
        <v>0</v>
      </c>
      <c r="AD36" s="18">
        <f t="shared" si="33"/>
        <v>0</v>
      </c>
      <c r="AE36" s="19">
        <v>0</v>
      </c>
      <c r="AF36" s="19">
        <v>0</v>
      </c>
      <c r="AG36" s="19">
        <v>0</v>
      </c>
      <c r="AH36" s="19">
        <v>0</v>
      </c>
      <c r="AI36" s="18">
        <f t="shared" si="34"/>
        <v>0</v>
      </c>
      <c r="AJ36" s="19">
        <v>0</v>
      </c>
      <c r="AK36" s="19">
        <v>0</v>
      </c>
      <c r="AL36" s="19">
        <v>0</v>
      </c>
      <c r="AM36" s="19">
        <v>0</v>
      </c>
    </row>
    <row r="37" spans="1:39" s="2" customFormat="1" ht="63" hidden="1" outlineLevel="4" x14ac:dyDescent="0.25">
      <c r="A37" s="8" t="s">
        <v>338</v>
      </c>
      <c r="B37" s="41" t="s">
        <v>425</v>
      </c>
      <c r="C37" s="26" t="s">
        <v>32</v>
      </c>
      <c r="D37" s="26" t="s">
        <v>118</v>
      </c>
      <c r="E37" s="20">
        <f>H37</f>
        <v>331.9</v>
      </c>
      <c r="F37" s="38">
        <f t="shared" si="35"/>
        <v>0</v>
      </c>
      <c r="G37" s="38">
        <f t="shared" si="26"/>
        <v>0</v>
      </c>
      <c r="H37" s="38">
        <f t="shared" si="27"/>
        <v>331.9</v>
      </c>
      <c r="I37" s="38">
        <f t="shared" si="28"/>
        <v>0</v>
      </c>
      <c r="J37" s="18">
        <f t="shared" si="29"/>
        <v>331.9</v>
      </c>
      <c r="K37" s="19">
        <v>0</v>
      </c>
      <c r="L37" s="19">
        <v>0</v>
      </c>
      <c r="M37" s="19">
        <v>331.9</v>
      </c>
      <c r="N37" s="19">
        <v>0</v>
      </c>
      <c r="O37" s="18">
        <f t="shared" si="30"/>
        <v>0</v>
      </c>
      <c r="P37" s="19">
        <v>0</v>
      </c>
      <c r="Q37" s="19">
        <v>0</v>
      </c>
      <c r="R37" s="19">
        <v>0</v>
      </c>
      <c r="S37" s="19">
        <v>0</v>
      </c>
      <c r="T37" s="18">
        <f t="shared" si="31"/>
        <v>0</v>
      </c>
      <c r="U37" s="19">
        <v>0</v>
      </c>
      <c r="V37" s="19">
        <v>0</v>
      </c>
      <c r="W37" s="19">
        <v>0</v>
      </c>
      <c r="X37" s="19">
        <v>0</v>
      </c>
      <c r="Y37" s="18">
        <f t="shared" si="32"/>
        <v>0</v>
      </c>
      <c r="Z37" s="19">
        <v>0</v>
      </c>
      <c r="AA37" s="19">
        <v>0</v>
      </c>
      <c r="AB37" s="19">
        <v>0</v>
      </c>
      <c r="AC37" s="19">
        <v>0</v>
      </c>
      <c r="AD37" s="18">
        <f t="shared" si="33"/>
        <v>0</v>
      </c>
      <c r="AE37" s="19">
        <v>0</v>
      </c>
      <c r="AF37" s="19">
        <v>0</v>
      </c>
      <c r="AG37" s="19">
        <v>0</v>
      </c>
      <c r="AH37" s="19">
        <v>0</v>
      </c>
      <c r="AI37" s="18">
        <f t="shared" si="34"/>
        <v>0</v>
      </c>
      <c r="AJ37" s="19">
        <v>0</v>
      </c>
      <c r="AK37" s="19">
        <v>0</v>
      </c>
      <c r="AL37" s="19">
        <v>0</v>
      </c>
      <c r="AM37" s="19">
        <v>0</v>
      </c>
    </row>
    <row r="38" spans="1:39" s="2" customFormat="1" ht="78.75" hidden="1" outlineLevel="4" x14ac:dyDescent="0.25">
      <c r="A38" s="8" t="s">
        <v>339</v>
      </c>
      <c r="B38" s="42" t="s">
        <v>347</v>
      </c>
      <c r="C38" s="26" t="s">
        <v>376</v>
      </c>
      <c r="D38" s="26" t="s">
        <v>8</v>
      </c>
      <c r="E38" s="20">
        <f t="shared" si="36"/>
        <v>4309.2000000000007</v>
      </c>
      <c r="F38" s="38">
        <f t="shared" si="35"/>
        <v>0</v>
      </c>
      <c r="G38" s="38">
        <f t="shared" si="26"/>
        <v>0</v>
      </c>
      <c r="H38" s="38">
        <f t="shared" si="27"/>
        <v>4309.2000000000007</v>
      </c>
      <c r="I38" s="38">
        <f t="shared" si="28"/>
        <v>0</v>
      </c>
      <c r="J38" s="18">
        <f t="shared" si="29"/>
        <v>1423.5</v>
      </c>
      <c r="K38" s="19">
        <v>0</v>
      </c>
      <c r="L38" s="19">
        <v>0</v>
      </c>
      <c r="M38" s="19">
        <v>1423.5</v>
      </c>
      <c r="N38" s="19">
        <v>0</v>
      </c>
      <c r="O38" s="18">
        <f t="shared" si="30"/>
        <v>2885.7000000000003</v>
      </c>
      <c r="P38" s="19">
        <v>0</v>
      </c>
      <c r="Q38" s="19">
        <v>0</v>
      </c>
      <c r="R38" s="19">
        <f>6700-3956.6+142.3</f>
        <v>2885.7000000000003</v>
      </c>
      <c r="S38" s="19">
        <v>0</v>
      </c>
      <c r="T38" s="18">
        <f t="shared" si="31"/>
        <v>0</v>
      </c>
      <c r="U38" s="19">
        <v>0</v>
      </c>
      <c r="V38" s="19">
        <v>0</v>
      </c>
      <c r="W38" s="19">
        <v>0</v>
      </c>
      <c r="X38" s="19">
        <v>0</v>
      </c>
      <c r="Y38" s="18">
        <f t="shared" si="32"/>
        <v>0</v>
      </c>
      <c r="Z38" s="19">
        <v>0</v>
      </c>
      <c r="AA38" s="19">
        <v>0</v>
      </c>
      <c r="AB38" s="19">
        <v>0</v>
      </c>
      <c r="AC38" s="19">
        <v>0</v>
      </c>
      <c r="AD38" s="18">
        <f t="shared" si="33"/>
        <v>0</v>
      </c>
      <c r="AE38" s="19">
        <v>0</v>
      </c>
      <c r="AF38" s="19">
        <v>0</v>
      </c>
      <c r="AG38" s="19">
        <v>0</v>
      </c>
      <c r="AH38" s="19">
        <v>0</v>
      </c>
      <c r="AI38" s="18">
        <f t="shared" si="34"/>
        <v>0</v>
      </c>
      <c r="AJ38" s="19">
        <v>0</v>
      </c>
      <c r="AK38" s="19">
        <v>0</v>
      </c>
      <c r="AL38" s="19">
        <v>0</v>
      </c>
      <c r="AM38" s="19">
        <v>0</v>
      </c>
    </row>
    <row r="39" spans="1:39" s="2" customFormat="1" ht="63" hidden="1" outlineLevel="4" x14ac:dyDescent="0.25">
      <c r="A39" s="8" t="s">
        <v>340</v>
      </c>
      <c r="B39" s="42" t="s">
        <v>348</v>
      </c>
      <c r="C39" s="26" t="s">
        <v>31</v>
      </c>
      <c r="D39" s="26" t="s">
        <v>118</v>
      </c>
      <c r="E39" s="20">
        <f t="shared" si="36"/>
        <v>261.89999999999998</v>
      </c>
      <c r="F39" s="38">
        <f t="shared" si="35"/>
        <v>0</v>
      </c>
      <c r="G39" s="38">
        <f t="shared" si="26"/>
        <v>0</v>
      </c>
      <c r="H39" s="38">
        <f t="shared" si="27"/>
        <v>261.89999999999998</v>
      </c>
      <c r="I39" s="38">
        <f t="shared" si="28"/>
        <v>0</v>
      </c>
      <c r="J39" s="18">
        <f t="shared" si="29"/>
        <v>261.89999999999998</v>
      </c>
      <c r="K39" s="19">
        <v>0</v>
      </c>
      <c r="L39" s="19">
        <v>0</v>
      </c>
      <c r="M39" s="19">
        <f>261.9</f>
        <v>261.89999999999998</v>
      </c>
      <c r="N39" s="19">
        <v>0</v>
      </c>
      <c r="O39" s="18">
        <f t="shared" si="30"/>
        <v>0</v>
      </c>
      <c r="P39" s="19">
        <v>0</v>
      </c>
      <c r="Q39" s="19">
        <v>0</v>
      </c>
      <c r="R39" s="19">
        <v>0</v>
      </c>
      <c r="S39" s="19">
        <v>0</v>
      </c>
      <c r="T39" s="18">
        <f t="shared" si="31"/>
        <v>0</v>
      </c>
      <c r="U39" s="19">
        <v>0</v>
      </c>
      <c r="V39" s="19">
        <v>0</v>
      </c>
      <c r="W39" s="19">
        <v>0</v>
      </c>
      <c r="X39" s="19">
        <v>0</v>
      </c>
      <c r="Y39" s="18">
        <f t="shared" si="32"/>
        <v>0</v>
      </c>
      <c r="Z39" s="19">
        <v>0</v>
      </c>
      <c r="AA39" s="19">
        <v>0</v>
      </c>
      <c r="AB39" s="19">
        <v>0</v>
      </c>
      <c r="AC39" s="19">
        <v>0</v>
      </c>
      <c r="AD39" s="18">
        <f t="shared" si="33"/>
        <v>0</v>
      </c>
      <c r="AE39" s="19">
        <v>0</v>
      </c>
      <c r="AF39" s="19">
        <v>0</v>
      </c>
      <c r="AG39" s="19">
        <v>0</v>
      </c>
      <c r="AH39" s="19">
        <v>0</v>
      </c>
      <c r="AI39" s="18">
        <f t="shared" si="34"/>
        <v>0</v>
      </c>
      <c r="AJ39" s="19">
        <v>0</v>
      </c>
      <c r="AK39" s="19">
        <v>0</v>
      </c>
      <c r="AL39" s="19">
        <v>0</v>
      </c>
      <c r="AM39" s="19">
        <v>0</v>
      </c>
    </row>
    <row r="40" spans="1:39" s="2" customFormat="1" ht="63" hidden="1" outlineLevel="4" x14ac:dyDescent="0.25">
      <c r="A40" s="8" t="s">
        <v>341</v>
      </c>
      <c r="B40" s="42" t="s">
        <v>349</v>
      </c>
      <c r="C40" s="26" t="s">
        <v>31</v>
      </c>
      <c r="D40" s="26" t="s">
        <v>118</v>
      </c>
      <c r="E40" s="20">
        <f t="shared" si="36"/>
        <v>31.3</v>
      </c>
      <c r="F40" s="38">
        <f t="shared" si="35"/>
        <v>0</v>
      </c>
      <c r="G40" s="38">
        <f t="shared" si="26"/>
        <v>0</v>
      </c>
      <c r="H40" s="38">
        <f t="shared" si="27"/>
        <v>31.3</v>
      </c>
      <c r="I40" s="38">
        <f t="shared" si="28"/>
        <v>0</v>
      </c>
      <c r="J40" s="18">
        <f t="shared" si="29"/>
        <v>31.3</v>
      </c>
      <c r="K40" s="19">
        <v>0</v>
      </c>
      <c r="L40" s="19">
        <v>0</v>
      </c>
      <c r="M40" s="19">
        <v>31.3</v>
      </c>
      <c r="N40" s="19">
        <v>0</v>
      </c>
      <c r="O40" s="18">
        <f t="shared" si="30"/>
        <v>0</v>
      </c>
      <c r="P40" s="19">
        <v>0</v>
      </c>
      <c r="Q40" s="19">
        <v>0</v>
      </c>
      <c r="R40" s="19">
        <v>0</v>
      </c>
      <c r="S40" s="19">
        <v>0</v>
      </c>
      <c r="T40" s="18">
        <f t="shared" si="31"/>
        <v>0</v>
      </c>
      <c r="U40" s="19">
        <v>0</v>
      </c>
      <c r="V40" s="19">
        <v>0</v>
      </c>
      <c r="W40" s="19">
        <v>0</v>
      </c>
      <c r="X40" s="19">
        <v>0</v>
      </c>
      <c r="Y40" s="18">
        <f t="shared" si="32"/>
        <v>0</v>
      </c>
      <c r="Z40" s="19">
        <v>0</v>
      </c>
      <c r="AA40" s="19">
        <v>0</v>
      </c>
      <c r="AB40" s="19">
        <v>0</v>
      </c>
      <c r="AC40" s="19">
        <v>0</v>
      </c>
      <c r="AD40" s="18">
        <f t="shared" si="33"/>
        <v>0</v>
      </c>
      <c r="AE40" s="19">
        <v>0</v>
      </c>
      <c r="AF40" s="19">
        <v>0</v>
      </c>
      <c r="AG40" s="19">
        <v>0</v>
      </c>
      <c r="AH40" s="19">
        <v>0</v>
      </c>
      <c r="AI40" s="18">
        <f t="shared" si="34"/>
        <v>0</v>
      </c>
      <c r="AJ40" s="19">
        <v>0</v>
      </c>
      <c r="AK40" s="19">
        <v>0</v>
      </c>
      <c r="AL40" s="19">
        <v>0</v>
      </c>
      <c r="AM40" s="19">
        <v>0</v>
      </c>
    </row>
    <row r="41" spans="1:39" s="2" customFormat="1" ht="78.75" hidden="1" outlineLevel="4" x14ac:dyDescent="0.25">
      <c r="A41" s="8" t="s">
        <v>342</v>
      </c>
      <c r="B41" s="42" t="s">
        <v>350</v>
      </c>
      <c r="C41" s="26" t="s">
        <v>376</v>
      </c>
      <c r="D41" s="26" t="s">
        <v>118</v>
      </c>
      <c r="E41" s="20">
        <f t="shared" si="36"/>
        <v>69.3</v>
      </c>
      <c r="F41" s="38">
        <f t="shared" ref="F41:F59" si="37">K41+P41+U41+Z41+AE41+AJ41</f>
        <v>0</v>
      </c>
      <c r="G41" s="38">
        <f t="shared" si="26"/>
        <v>0</v>
      </c>
      <c r="H41" s="38">
        <f t="shared" si="27"/>
        <v>69.3</v>
      </c>
      <c r="I41" s="38">
        <f t="shared" si="28"/>
        <v>0</v>
      </c>
      <c r="J41" s="18">
        <f t="shared" si="29"/>
        <v>69.3</v>
      </c>
      <c r="K41" s="19">
        <v>0</v>
      </c>
      <c r="L41" s="19">
        <v>0</v>
      </c>
      <c r="M41" s="19">
        <v>69.3</v>
      </c>
      <c r="N41" s="19">
        <v>0</v>
      </c>
      <c r="O41" s="18">
        <f t="shared" si="30"/>
        <v>0</v>
      </c>
      <c r="P41" s="19">
        <v>0</v>
      </c>
      <c r="Q41" s="19">
        <v>0</v>
      </c>
      <c r="R41" s="19">
        <v>0</v>
      </c>
      <c r="S41" s="19">
        <v>0</v>
      </c>
      <c r="T41" s="18">
        <f t="shared" si="31"/>
        <v>0</v>
      </c>
      <c r="U41" s="19">
        <v>0</v>
      </c>
      <c r="V41" s="19">
        <v>0</v>
      </c>
      <c r="W41" s="19">
        <v>0</v>
      </c>
      <c r="X41" s="19">
        <v>0</v>
      </c>
      <c r="Y41" s="18">
        <f t="shared" si="32"/>
        <v>0</v>
      </c>
      <c r="Z41" s="19">
        <v>0</v>
      </c>
      <c r="AA41" s="19">
        <v>0</v>
      </c>
      <c r="AB41" s="19">
        <v>0</v>
      </c>
      <c r="AC41" s="19">
        <v>0</v>
      </c>
      <c r="AD41" s="18">
        <f t="shared" si="33"/>
        <v>0</v>
      </c>
      <c r="AE41" s="19">
        <v>0</v>
      </c>
      <c r="AF41" s="19">
        <v>0</v>
      </c>
      <c r="AG41" s="19">
        <v>0</v>
      </c>
      <c r="AH41" s="19">
        <v>0</v>
      </c>
      <c r="AI41" s="18">
        <f t="shared" si="34"/>
        <v>0</v>
      </c>
      <c r="AJ41" s="19">
        <v>0</v>
      </c>
      <c r="AK41" s="19">
        <v>0</v>
      </c>
      <c r="AL41" s="19">
        <v>0</v>
      </c>
      <c r="AM41" s="19">
        <v>0</v>
      </c>
    </row>
    <row r="42" spans="1:39" s="2" customFormat="1" ht="78.75" hidden="1" outlineLevel="4" x14ac:dyDescent="0.25">
      <c r="A42" s="8" t="s">
        <v>343</v>
      </c>
      <c r="B42" s="42" t="s">
        <v>351</v>
      </c>
      <c r="C42" s="26" t="s">
        <v>376</v>
      </c>
      <c r="D42" s="26" t="s">
        <v>118</v>
      </c>
      <c r="E42" s="20">
        <f t="shared" si="36"/>
        <v>55.5</v>
      </c>
      <c r="F42" s="38">
        <f t="shared" si="37"/>
        <v>0</v>
      </c>
      <c r="G42" s="38">
        <f t="shared" si="26"/>
        <v>0</v>
      </c>
      <c r="H42" s="38">
        <f t="shared" si="27"/>
        <v>55.5</v>
      </c>
      <c r="I42" s="38">
        <f t="shared" si="28"/>
        <v>0</v>
      </c>
      <c r="J42" s="18">
        <f t="shared" si="29"/>
        <v>55.5</v>
      </c>
      <c r="K42" s="19">
        <v>0</v>
      </c>
      <c r="L42" s="19">
        <v>0</v>
      </c>
      <c r="M42" s="19">
        <v>55.5</v>
      </c>
      <c r="N42" s="19">
        <v>0</v>
      </c>
      <c r="O42" s="18">
        <f t="shared" si="30"/>
        <v>0</v>
      </c>
      <c r="P42" s="19">
        <v>0</v>
      </c>
      <c r="Q42" s="19">
        <v>0</v>
      </c>
      <c r="R42" s="19">
        <v>0</v>
      </c>
      <c r="S42" s="19">
        <v>0</v>
      </c>
      <c r="T42" s="18">
        <f t="shared" si="31"/>
        <v>0</v>
      </c>
      <c r="U42" s="19">
        <v>0</v>
      </c>
      <c r="V42" s="19">
        <v>0</v>
      </c>
      <c r="W42" s="19">
        <v>0</v>
      </c>
      <c r="X42" s="19">
        <v>0</v>
      </c>
      <c r="Y42" s="18">
        <f t="shared" si="32"/>
        <v>0</v>
      </c>
      <c r="Z42" s="19">
        <v>0</v>
      </c>
      <c r="AA42" s="19">
        <v>0</v>
      </c>
      <c r="AB42" s="19">
        <v>0</v>
      </c>
      <c r="AC42" s="19">
        <v>0</v>
      </c>
      <c r="AD42" s="18">
        <f t="shared" si="33"/>
        <v>0</v>
      </c>
      <c r="AE42" s="19">
        <v>0</v>
      </c>
      <c r="AF42" s="19">
        <v>0</v>
      </c>
      <c r="AG42" s="19">
        <v>0</v>
      </c>
      <c r="AH42" s="19">
        <v>0</v>
      </c>
      <c r="AI42" s="18">
        <f t="shared" si="34"/>
        <v>0</v>
      </c>
      <c r="AJ42" s="19">
        <v>0</v>
      </c>
      <c r="AK42" s="19">
        <v>0</v>
      </c>
      <c r="AL42" s="19">
        <v>0</v>
      </c>
      <c r="AM42" s="19">
        <v>0</v>
      </c>
    </row>
    <row r="43" spans="1:39" s="2" customFormat="1" ht="63" hidden="1" outlineLevel="4" x14ac:dyDescent="0.25">
      <c r="A43" s="8" t="s">
        <v>344</v>
      </c>
      <c r="B43" s="42" t="s">
        <v>455</v>
      </c>
      <c r="C43" s="26" t="s">
        <v>32</v>
      </c>
      <c r="D43" s="26" t="s">
        <v>118</v>
      </c>
      <c r="E43" s="20">
        <f>H43</f>
        <v>55.5</v>
      </c>
      <c r="F43" s="38">
        <f t="shared" si="37"/>
        <v>0</v>
      </c>
      <c r="G43" s="38">
        <f t="shared" si="26"/>
        <v>0</v>
      </c>
      <c r="H43" s="38">
        <f t="shared" si="27"/>
        <v>55.5</v>
      </c>
      <c r="I43" s="38">
        <f t="shared" si="28"/>
        <v>0</v>
      </c>
      <c r="J43" s="18">
        <f t="shared" si="29"/>
        <v>55.5</v>
      </c>
      <c r="K43" s="19">
        <v>0</v>
      </c>
      <c r="L43" s="19">
        <v>0</v>
      </c>
      <c r="M43" s="19">
        <v>55.5</v>
      </c>
      <c r="N43" s="19">
        <v>0</v>
      </c>
      <c r="O43" s="18">
        <f t="shared" si="30"/>
        <v>0</v>
      </c>
      <c r="P43" s="19">
        <v>0</v>
      </c>
      <c r="Q43" s="19">
        <v>0</v>
      </c>
      <c r="R43" s="19">
        <v>0</v>
      </c>
      <c r="S43" s="19">
        <v>0</v>
      </c>
      <c r="T43" s="18">
        <f t="shared" si="31"/>
        <v>0</v>
      </c>
      <c r="U43" s="19">
        <v>0</v>
      </c>
      <c r="V43" s="19">
        <v>0</v>
      </c>
      <c r="W43" s="19">
        <v>0</v>
      </c>
      <c r="X43" s="19">
        <v>0</v>
      </c>
      <c r="Y43" s="18">
        <f t="shared" si="32"/>
        <v>0</v>
      </c>
      <c r="Z43" s="19">
        <v>0</v>
      </c>
      <c r="AA43" s="19">
        <v>0</v>
      </c>
      <c r="AB43" s="19">
        <v>0</v>
      </c>
      <c r="AC43" s="19">
        <v>0</v>
      </c>
      <c r="AD43" s="18">
        <f t="shared" si="33"/>
        <v>0</v>
      </c>
      <c r="AE43" s="19">
        <v>0</v>
      </c>
      <c r="AF43" s="19">
        <v>0</v>
      </c>
      <c r="AG43" s="19">
        <v>0</v>
      </c>
      <c r="AH43" s="19">
        <v>0</v>
      </c>
      <c r="AI43" s="18">
        <f t="shared" si="34"/>
        <v>0</v>
      </c>
      <c r="AJ43" s="19">
        <v>0</v>
      </c>
      <c r="AK43" s="19">
        <v>0</v>
      </c>
      <c r="AL43" s="19">
        <v>0</v>
      </c>
      <c r="AM43" s="19">
        <v>0</v>
      </c>
    </row>
    <row r="44" spans="1:39" s="2" customFormat="1" ht="78.75" hidden="1" outlineLevel="4" x14ac:dyDescent="0.25">
      <c r="A44" s="8" t="s">
        <v>443</v>
      </c>
      <c r="B44" s="42" t="s">
        <v>352</v>
      </c>
      <c r="C44" s="26" t="s">
        <v>376</v>
      </c>
      <c r="D44" s="26" t="s">
        <v>118</v>
      </c>
      <c r="E44" s="20">
        <f>H44</f>
        <v>31.3</v>
      </c>
      <c r="F44" s="38">
        <f t="shared" si="37"/>
        <v>0</v>
      </c>
      <c r="G44" s="38">
        <f t="shared" si="26"/>
        <v>0</v>
      </c>
      <c r="H44" s="38">
        <f t="shared" si="27"/>
        <v>31.3</v>
      </c>
      <c r="I44" s="38">
        <f t="shared" si="28"/>
        <v>0</v>
      </c>
      <c r="J44" s="18">
        <f t="shared" si="29"/>
        <v>31.3</v>
      </c>
      <c r="K44" s="19">
        <v>0</v>
      </c>
      <c r="L44" s="19">
        <v>0</v>
      </c>
      <c r="M44" s="19">
        <v>31.3</v>
      </c>
      <c r="N44" s="19">
        <v>0</v>
      </c>
      <c r="O44" s="18">
        <f t="shared" si="30"/>
        <v>0</v>
      </c>
      <c r="P44" s="19">
        <v>0</v>
      </c>
      <c r="Q44" s="19">
        <v>0</v>
      </c>
      <c r="R44" s="19">
        <v>0</v>
      </c>
      <c r="S44" s="19">
        <v>0</v>
      </c>
      <c r="T44" s="18">
        <f t="shared" si="31"/>
        <v>0</v>
      </c>
      <c r="U44" s="19">
        <v>0</v>
      </c>
      <c r="V44" s="19">
        <v>0</v>
      </c>
      <c r="W44" s="19">
        <v>0</v>
      </c>
      <c r="X44" s="19">
        <v>0</v>
      </c>
      <c r="Y44" s="18">
        <f t="shared" si="32"/>
        <v>0</v>
      </c>
      <c r="Z44" s="19">
        <v>0</v>
      </c>
      <c r="AA44" s="19">
        <v>0</v>
      </c>
      <c r="AB44" s="19">
        <v>0</v>
      </c>
      <c r="AC44" s="19">
        <v>0</v>
      </c>
      <c r="AD44" s="18">
        <f t="shared" si="33"/>
        <v>0</v>
      </c>
      <c r="AE44" s="19">
        <v>0</v>
      </c>
      <c r="AF44" s="19">
        <v>0</v>
      </c>
      <c r="AG44" s="19">
        <v>0</v>
      </c>
      <c r="AH44" s="19">
        <v>0</v>
      </c>
      <c r="AI44" s="18">
        <f t="shared" si="34"/>
        <v>0</v>
      </c>
      <c r="AJ44" s="19">
        <v>0</v>
      </c>
      <c r="AK44" s="19">
        <v>0</v>
      </c>
      <c r="AL44" s="19">
        <v>0</v>
      </c>
      <c r="AM44" s="19">
        <v>0</v>
      </c>
    </row>
    <row r="45" spans="1:39" s="2" customFormat="1" ht="78.75" hidden="1" outlineLevel="4" x14ac:dyDescent="0.25">
      <c r="A45" s="8" t="s">
        <v>444</v>
      </c>
      <c r="B45" s="42" t="s">
        <v>375</v>
      </c>
      <c r="C45" s="26" t="s">
        <v>376</v>
      </c>
      <c r="D45" s="26" t="s">
        <v>118</v>
      </c>
      <c r="E45" s="20">
        <f t="shared" si="36"/>
        <v>1672</v>
      </c>
      <c r="F45" s="38">
        <f t="shared" si="37"/>
        <v>0</v>
      </c>
      <c r="G45" s="38">
        <f t="shared" si="26"/>
        <v>0</v>
      </c>
      <c r="H45" s="38">
        <f t="shared" si="27"/>
        <v>1672</v>
      </c>
      <c r="I45" s="38">
        <f t="shared" si="28"/>
        <v>0</v>
      </c>
      <c r="J45" s="18">
        <f t="shared" si="29"/>
        <v>1672</v>
      </c>
      <c r="K45" s="19">
        <v>0</v>
      </c>
      <c r="L45" s="19">
        <v>0</v>
      </c>
      <c r="M45" s="19">
        <f>1449.8+222.2</f>
        <v>1672</v>
      </c>
      <c r="N45" s="19">
        <v>0</v>
      </c>
      <c r="O45" s="18">
        <f t="shared" si="30"/>
        <v>0</v>
      </c>
      <c r="P45" s="19">
        <v>0</v>
      </c>
      <c r="Q45" s="19">
        <v>0</v>
      </c>
      <c r="R45" s="19">
        <v>0</v>
      </c>
      <c r="S45" s="19">
        <v>0</v>
      </c>
      <c r="T45" s="18">
        <f t="shared" si="31"/>
        <v>0</v>
      </c>
      <c r="U45" s="19">
        <v>0</v>
      </c>
      <c r="V45" s="19">
        <v>0</v>
      </c>
      <c r="W45" s="19">
        <v>0</v>
      </c>
      <c r="X45" s="19">
        <v>0</v>
      </c>
      <c r="Y45" s="18">
        <f t="shared" si="32"/>
        <v>0</v>
      </c>
      <c r="Z45" s="19">
        <v>0</v>
      </c>
      <c r="AA45" s="19">
        <v>0</v>
      </c>
      <c r="AB45" s="19">
        <v>0</v>
      </c>
      <c r="AC45" s="19">
        <v>0</v>
      </c>
      <c r="AD45" s="18">
        <f t="shared" si="33"/>
        <v>0</v>
      </c>
      <c r="AE45" s="19">
        <v>0</v>
      </c>
      <c r="AF45" s="19">
        <v>0</v>
      </c>
      <c r="AG45" s="19">
        <v>0</v>
      </c>
      <c r="AH45" s="19">
        <v>0</v>
      </c>
      <c r="AI45" s="18">
        <f t="shared" si="34"/>
        <v>0</v>
      </c>
      <c r="AJ45" s="19">
        <v>0</v>
      </c>
      <c r="AK45" s="19">
        <v>0</v>
      </c>
      <c r="AL45" s="19">
        <v>0</v>
      </c>
      <c r="AM45" s="19">
        <v>0</v>
      </c>
    </row>
    <row r="46" spans="1:39" s="2" customFormat="1" ht="63" hidden="1" outlineLevel="4" x14ac:dyDescent="0.25">
      <c r="A46" s="8" t="s">
        <v>486</v>
      </c>
      <c r="B46" s="42" t="s">
        <v>525</v>
      </c>
      <c r="C46" s="26" t="s">
        <v>32</v>
      </c>
      <c r="D46" s="26" t="s">
        <v>8</v>
      </c>
      <c r="E46" s="20">
        <f>H46</f>
        <v>264.10000000000002</v>
      </c>
      <c r="F46" s="38">
        <f t="shared" si="37"/>
        <v>0</v>
      </c>
      <c r="G46" s="38">
        <f t="shared" si="26"/>
        <v>0</v>
      </c>
      <c r="H46" s="38">
        <f t="shared" si="27"/>
        <v>264.10000000000002</v>
      </c>
      <c r="I46" s="38">
        <f t="shared" si="28"/>
        <v>0</v>
      </c>
      <c r="J46" s="18">
        <f t="shared" si="29"/>
        <v>0</v>
      </c>
      <c r="K46" s="19">
        <v>0</v>
      </c>
      <c r="L46" s="19">
        <v>0</v>
      </c>
      <c r="M46" s="19">
        <v>0</v>
      </c>
      <c r="N46" s="19">
        <v>0</v>
      </c>
      <c r="O46" s="18">
        <f t="shared" si="30"/>
        <v>264.10000000000002</v>
      </c>
      <c r="P46" s="19">
        <v>0</v>
      </c>
      <c r="Q46" s="19">
        <v>0</v>
      </c>
      <c r="R46" s="19">
        <v>264.10000000000002</v>
      </c>
      <c r="S46" s="19">
        <v>0</v>
      </c>
      <c r="T46" s="18">
        <f t="shared" si="31"/>
        <v>0</v>
      </c>
      <c r="U46" s="19">
        <v>0</v>
      </c>
      <c r="V46" s="19">
        <v>0</v>
      </c>
      <c r="W46" s="19">
        <v>0</v>
      </c>
      <c r="X46" s="19">
        <v>0</v>
      </c>
      <c r="Y46" s="18">
        <f t="shared" si="32"/>
        <v>0</v>
      </c>
      <c r="Z46" s="19">
        <v>0</v>
      </c>
      <c r="AA46" s="19">
        <v>0</v>
      </c>
      <c r="AB46" s="19">
        <v>0</v>
      </c>
      <c r="AC46" s="19">
        <v>0</v>
      </c>
      <c r="AD46" s="18">
        <f t="shared" si="33"/>
        <v>0</v>
      </c>
      <c r="AE46" s="19">
        <v>0</v>
      </c>
      <c r="AF46" s="19">
        <v>0</v>
      </c>
      <c r="AG46" s="19">
        <v>0</v>
      </c>
      <c r="AH46" s="19">
        <v>0</v>
      </c>
      <c r="AI46" s="18">
        <f t="shared" si="34"/>
        <v>0</v>
      </c>
      <c r="AJ46" s="19">
        <v>0</v>
      </c>
      <c r="AK46" s="19">
        <v>0</v>
      </c>
      <c r="AL46" s="19">
        <v>0</v>
      </c>
      <c r="AM46" s="19">
        <v>0</v>
      </c>
    </row>
    <row r="47" spans="1:39" s="2" customFormat="1" ht="47.25" hidden="1" outlineLevel="4" x14ac:dyDescent="0.25">
      <c r="A47" s="8" t="s">
        <v>488</v>
      </c>
      <c r="B47" s="42" t="s">
        <v>521</v>
      </c>
      <c r="C47" s="26" t="s">
        <v>32</v>
      </c>
      <c r="D47" s="26" t="s">
        <v>118</v>
      </c>
      <c r="E47" s="20">
        <f t="shared" si="36"/>
        <v>1837</v>
      </c>
      <c r="F47" s="38">
        <f t="shared" si="37"/>
        <v>0</v>
      </c>
      <c r="G47" s="38">
        <f t="shared" si="26"/>
        <v>0</v>
      </c>
      <c r="H47" s="38">
        <f t="shared" si="27"/>
        <v>1837</v>
      </c>
      <c r="I47" s="38">
        <f t="shared" si="28"/>
        <v>0</v>
      </c>
      <c r="J47" s="18">
        <f t="shared" si="29"/>
        <v>0</v>
      </c>
      <c r="K47" s="19">
        <v>0</v>
      </c>
      <c r="L47" s="19">
        <v>0</v>
      </c>
      <c r="M47" s="19">
        <v>0</v>
      </c>
      <c r="N47" s="19">
        <v>0</v>
      </c>
      <c r="O47" s="18">
        <f t="shared" si="30"/>
        <v>1837</v>
      </c>
      <c r="P47" s="19">
        <v>0</v>
      </c>
      <c r="Q47" s="19">
        <v>0</v>
      </c>
      <c r="R47" s="19">
        <v>1837</v>
      </c>
      <c r="S47" s="19">
        <v>0</v>
      </c>
      <c r="T47" s="18">
        <f t="shared" si="31"/>
        <v>0</v>
      </c>
      <c r="U47" s="19">
        <v>0</v>
      </c>
      <c r="V47" s="19">
        <v>0</v>
      </c>
      <c r="W47" s="19">
        <v>0</v>
      </c>
      <c r="X47" s="19">
        <v>0</v>
      </c>
      <c r="Y47" s="18">
        <f t="shared" si="32"/>
        <v>0</v>
      </c>
      <c r="Z47" s="19">
        <v>0</v>
      </c>
      <c r="AA47" s="19">
        <v>0</v>
      </c>
      <c r="AB47" s="19">
        <v>0</v>
      </c>
      <c r="AC47" s="19">
        <v>0</v>
      </c>
      <c r="AD47" s="18">
        <f t="shared" si="33"/>
        <v>0</v>
      </c>
      <c r="AE47" s="19">
        <v>0</v>
      </c>
      <c r="AF47" s="19">
        <v>0</v>
      </c>
      <c r="AG47" s="19">
        <v>0</v>
      </c>
      <c r="AH47" s="19">
        <v>0</v>
      </c>
      <c r="AI47" s="18">
        <f t="shared" si="34"/>
        <v>0</v>
      </c>
      <c r="AJ47" s="19">
        <v>0</v>
      </c>
      <c r="AK47" s="19">
        <v>0</v>
      </c>
      <c r="AL47" s="19">
        <v>0</v>
      </c>
      <c r="AM47" s="19">
        <v>0</v>
      </c>
    </row>
    <row r="48" spans="1:39" s="2" customFormat="1" ht="47.25" hidden="1" outlineLevel="4" x14ac:dyDescent="0.25">
      <c r="A48" s="8" t="s">
        <v>490</v>
      </c>
      <c r="B48" s="42" t="s">
        <v>487</v>
      </c>
      <c r="C48" s="26" t="s">
        <v>32</v>
      </c>
      <c r="D48" s="26" t="s">
        <v>8</v>
      </c>
      <c r="E48" s="20">
        <f t="shared" ref="E48:E59" si="38">H48</f>
        <v>1649.8999999999999</v>
      </c>
      <c r="F48" s="38">
        <f t="shared" si="37"/>
        <v>0</v>
      </c>
      <c r="G48" s="38">
        <f t="shared" si="26"/>
        <v>0</v>
      </c>
      <c r="H48" s="38">
        <f t="shared" si="27"/>
        <v>1649.8999999999999</v>
      </c>
      <c r="I48" s="38">
        <f t="shared" si="28"/>
        <v>0</v>
      </c>
      <c r="J48" s="18">
        <f t="shared" si="29"/>
        <v>0</v>
      </c>
      <c r="K48" s="19">
        <v>0</v>
      </c>
      <c r="L48" s="19">
        <v>0</v>
      </c>
      <c r="M48" s="19">
        <v>0</v>
      </c>
      <c r="N48" s="19">
        <v>0</v>
      </c>
      <c r="O48" s="18">
        <f t="shared" si="30"/>
        <v>1649.8999999999999</v>
      </c>
      <c r="P48" s="19">
        <v>0</v>
      </c>
      <c r="Q48" s="19">
        <v>0</v>
      </c>
      <c r="R48" s="19">
        <f>2500-685.2-164.9</f>
        <v>1649.8999999999999</v>
      </c>
      <c r="S48" s="19">
        <v>0</v>
      </c>
      <c r="T48" s="18">
        <f t="shared" si="31"/>
        <v>0</v>
      </c>
      <c r="U48" s="19">
        <v>0</v>
      </c>
      <c r="V48" s="19">
        <v>0</v>
      </c>
      <c r="W48" s="19">
        <v>0</v>
      </c>
      <c r="X48" s="19">
        <v>0</v>
      </c>
      <c r="Y48" s="18">
        <f t="shared" si="32"/>
        <v>0</v>
      </c>
      <c r="Z48" s="19">
        <v>0</v>
      </c>
      <c r="AA48" s="19">
        <v>0</v>
      </c>
      <c r="AB48" s="19">
        <v>0</v>
      </c>
      <c r="AC48" s="19">
        <v>0</v>
      </c>
      <c r="AD48" s="18">
        <f t="shared" si="33"/>
        <v>0</v>
      </c>
      <c r="AE48" s="19">
        <v>0</v>
      </c>
      <c r="AF48" s="19">
        <v>0</v>
      </c>
      <c r="AG48" s="19">
        <v>0</v>
      </c>
      <c r="AH48" s="19">
        <v>0</v>
      </c>
      <c r="AI48" s="18">
        <f t="shared" si="34"/>
        <v>0</v>
      </c>
      <c r="AJ48" s="19">
        <v>0</v>
      </c>
      <c r="AK48" s="19">
        <v>0</v>
      </c>
      <c r="AL48" s="19">
        <v>0</v>
      </c>
      <c r="AM48" s="19">
        <v>0</v>
      </c>
    </row>
    <row r="49" spans="1:39" s="2" customFormat="1" ht="47.25" hidden="1" outlineLevel="4" x14ac:dyDescent="0.25">
      <c r="A49" s="8" t="s">
        <v>520</v>
      </c>
      <c r="B49" s="42" t="s">
        <v>489</v>
      </c>
      <c r="C49" s="26" t="s">
        <v>32</v>
      </c>
      <c r="D49" s="26" t="s">
        <v>8</v>
      </c>
      <c r="E49" s="20">
        <f t="shared" si="38"/>
        <v>1523</v>
      </c>
      <c r="F49" s="38">
        <f t="shared" si="37"/>
        <v>0</v>
      </c>
      <c r="G49" s="38">
        <f t="shared" si="26"/>
        <v>0</v>
      </c>
      <c r="H49" s="38">
        <f t="shared" si="27"/>
        <v>1523</v>
      </c>
      <c r="I49" s="38">
        <f t="shared" si="28"/>
        <v>0</v>
      </c>
      <c r="J49" s="18">
        <f t="shared" si="29"/>
        <v>0</v>
      </c>
      <c r="K49" s="19">
        <v>0</v>
      </c>
      <c r="L49" s="19">
        <v>0</v>
      </c>
      <c r="M49" s="19">
        <v>0</v>
      </c>
      <c r="N49" s="19">
        <v>0</v>
      </c>
      <c r="O49" s="18">
        <f t="shared" si="30"/>
        <v>1523</v>
      </c>
      <c r="P49" s="19">
        <v>0</v>
      </c>
      <c r="Q49" s="19">
        <v>0</v>
      </c>
      <c r="R49" s="19">
        <f>2500-824.8-152.2</f>
        <v>1523</v>
      </c>
      <c r="S49" s="19">
        <v>0</v>
      </c>
      <c r="T49" s="18">
        <f t="shared" si="31"/>
        <v>0</v>
      </c>
      <c r="U49" s="19">
        <v>0</v>
      </c>
      <c r="V49" s="19">
        <v>0</v>
      </c>
      <c r="W49" s="19">
        <v>0</v>
      </c>
      <c r="X49" s="19">
        <v>0</v>
      </c>
      <c r="Y49" s="18">
        <f t="shared" si="32"/>
        <v>0</v>
      </c>
      <c r="Z49" s="19">
        <v>0</v>
      </c>
      <c r="AA49" s="19">
        <v>0</v>
      </c>
      <c r="AB49" s="19">
        <v>0</v>
      </c>
      <c r="AC49" s="19">
        <v>0</v>
      </c>
      <c r="AD49" s="18">
        <f t="shared" si="33"/>
        <v>0</v>
      </c>
      <c r="AE49" s="19">
        <v>0</v>
      </c>
      <c r="AF49" s="19">
        <v>0</v>
      </c>
      <c r="AG49" s="19">
        <v>0</v>
      </c>
      <c r="AH49" s="19">
        <v>0</v>
      </c>
      <c r="AI49" s="18">
        <f t="shared" si="34"/>
        <v>0</v>
      </c>
      <c r="AJ49" s="19">
        <v>0</v>
      </c>
      <c r="AK49" s="19">
        <v>0</v>
      </c>
      <c r="AL49" s="19">
        <v>0</v>
      </c>
      <c r="AM49" s="19">
        <v>0</v>
      </c>
    </row>
    <row r="50" spans="1:39" s="2" customFormat="1" ht="63" hidden="1" outlineLevel="4" x14ac:dyDescent="0.25">
      <c r="A50" s="8" t="s">
        <v>524</v>
      </c>
      <c r="B50" s="42" t="s">
        <v>538</v>
      </c>
      <c r="C50" s="26" t="s">
        <v>32</v>
      </c>
      <c r="D50" s="26" t="s">
        <v>8</v>
      </c>
      <c r="E50" s="20">
        <f t="shared" si="38"/>
        <v>923</v>
      </c>
      <c r="F50" s="38">
        <f t="shared" si="37"/>
        <v>0</v>
      </c>
      <c r="G50" s="38">
        <f t="shared" si="26"/>
        <v>0</v>
      </c>
      <c r="H50" s="38">
        <f t="shared" si="27"/>
        <v>923</v>
      </c>
      <c r="I50" s="38">
        <f t="shared" si="28"/>
        <v>0</v>
      </c>
      <c r="J50" s="18">
        <f t="shared" si="29"/>
        <v>0</v>
      </c>
      <c r="K50" s="19">
        <v>0</v>
      </c>
      <c r="L50" s="19">
        <v>0</v>
      </c>
      <c r="M50" s="19">
        <v>0</v>
      </c>
      <c r="N50" s="19">
        <v>0</v>
      </c>
      <c r="O50" s="18">
        <f t="shared" si="30"/>
        <v>923</v>
      </c>
      <c r="P50" s="19">
        <v>0</v>
      </c>
      <c r="Q50" s="19">
        <v>0</v>
      </c>
      <c r="R50" s="19">
        <v>923</v>
      </c>
      <c r="S50" s="19">
        <v>0</v>
      </c>
      <c r="T50" s="18">
        <f t="shared" si="31"/>
        <v>0</v>
      </c>
      <c r="U50" s="19">
        <v>0</v>
      </c>
      <c r="V50" s="19">
        <v>0</v>
      </c>
      <c r="W50" s="19">
        <v>0</v>
      </c>
      <c r="X50" s="19">
        <v>0</v>
      </c>
      <c r="Y50" s="18">
        <f t="shared" si="32"/>
        <v>0</v>
      </c>
      <c r="Z50" s="19">
        <v>0</v>
      </c>
      <c r="AA50" s="19">
        <v>0</v>
      </c>
      <c r="AB50" s="19">
        <v>0</v>
      </c>
      <c r="AC50" s="19">
        <v>0</v>
      </c>
      <c r="AD50" s="18">
        <f t="shared" si="33"/>
        <v>0</v>
      </c>
      <c r="AE50" s="19">
        <v>0</v>
      </c>
      <c r="AF50" s="19">
        <v>0</v>
      </c>
      <c r="AG50" s="19">
        <v>0</v>
      </c>
      <c r="AH50" s="19">
        <v>0</v>
      </c>
      <c r="AI50" s="18">
        <f t="shared" si="34"/>
        <v>0</v>
      </c>
      <c r="AJ50" s="19">
        <v>0</v>
      </c>
      <c r="AK50" s="19">
        <v>0</v>
      </c>
      <c r="AL50" s="19">
        <v>0</v>
      </c>
      <c r="AM50" s="19">
        <v>0</v>
      </c>
    </row>
    <row r="51" spans="1:39" s="2" customFormat="1" ht="47.25" hidden="1" outlineLevel="4" x14ac:dyDescent="0.25">
      <c r="A51" s="8" t="s">
        <v>539</v>
      </c>
      <c r="B51" s="42" t="s">
        <v>576</v>
      </c>
      <c r="C51" s="26" t="s">
        <v>32</v>
      </c>
      <c r="D51" s="26" t="s">
        <v>118</v>
      </c>
      <c r="E51" s="20">
        <f t="shared" si="38"/>
        <v>5520.3</v>
      </c>
      <c r="F51" s="38">
        <f t="shared" si="37"/>
        <v>0</v>
      </c>
      <c r="G51" s="38">
        <f t="shared" si="26"/>
        <v>0</v>
      </c>
      <c r="H51" s="38">
        <f t="shared" si="27"/>
        <v>5520.3</v>
      </c>
      <c r="I51" s="38">
        <f t="shared" si="28"/>
        <v>0</v>
      </c>
      <c r="J51" s="18">
        <f t="shared" si="29"/>
        <v>0</v>
      </c>
      <c r="K51" s="19">
        <v>0</v>
      </c>
      <c r="L51" s="19">
        <v>0</v>
      </c>
      <c r="M51" s="19">
        <v>0</v>
      </c>
      <c r="N51" s="19">
        <v>0</v>
      </c>
      <c r="O51" s="18">
        <f t="shared" si="30"/>
        <v>0</v>
      </c>
      <c r="P51" s="19">
        <v>0</v>
      </c>
      <c r="Q51" s="19">
        <v>0</v>
      </c>
      <c r="R51" s="19">
        <f>4800-4800</f>
        <v>0</v>
      </c>
      <c r="S51" s="19">
        <v>0</v>
      </c>
      <c r="T51" s="18">
        <f t="shared" si="31"/>
        <v>5520.3</v>
      </c>
      <c r="U51" s="19">
        <v>0</v>
      </c>
      <c r="V51" s="19">
        <v>0</v>
      </c>
      <c r="W51" s="19">
        <f>4745.6+774.7</f>
        <v>5520.3</v>
      </c>
      <c r="X51" s="19">
        <v>0</v>
      </c>
      <c r="Y51" s="18">
        <f t="shared" si="32"/>
        <v>0</v>
      </c>
      <c r="Z51" s="19">
        <v>0</v>
      </c>
      <c r="AA51" s="19">
        <v>0</v>
      </c>
      <c r="AB51" s="19">
        <v>0</v>
      </c>
      <c r="AC51" s="19">
        <v>0</v>
      </c>
      <c r="AD51" s="18">
        <f t="shared" si="33"/>
        <v>0</v>
      </c>
      <c r="AE51" s="19">
        <v>0</v>
      </c>
      <c r="AF51" s="19">
        <v>0</v>
      </c>
      <c r="AG51" s="19">
        <v>0</v>
      </c>
      <c r="AH51" s="19">
        <v>0</v>
      </c>
      <c r="AI51" s="18">
        <f t="shared" si="34"/>
        <v>0</v>
      </c>
      <c r="AJ51" s="19">
        <v>0</v>
      </c>
      <c r="AK51" s="19">
        <v>0</v>
      </c>
      <c r="AL51" s="19">
        <v>0</v>
      </c>
      <c r="AM51" s="19">
        <v>0</v>
      </c>
    </row>
    <row r="52" spans="1:39" s="2" customFormat="1" ht="47.25" hidden="1" outlineLevel="4" x14ac:dyDescent="0.25">
      <c r="A52" s="8" t="s">
        <v>702</v>
      </c>
      <c r="B52" s="42" t="s">
        <v>578</v>
      </c>
      <c r="C52" s="26" t="s">
        <v>32</v>
      </c>
      <c r="D52" s="26" t="s">
        <v>118</v>
      </c>
      <c r="E52" s="20">
        <f t="shared" si="38"/>
        <v>1772.7</v>
      </c>
      <c r="F52" s="38">
        <f t="shared" si="37"/>
        <v>0</v>
      </c>
      <c r="G52" s="38">
        <f t="shared" si="26"/>
        <v>0</v>
      </c>
      <c r="H52" s="38">
        <f t="shared" si="27"/>
        <v>1772.7</v>
      </c>
      <c r="I52" s="38">
        <f t="shared" si="28"/>
        <v>0</v>
      </c>
      <c r="J52" s="18">
        <f t="shared" si="29"/>
        <v>0</v>
      </c>
      <c r="K52" s="19">
        <v>0</v>
      </c>
      <c r="L52" s="19">
        <v>0</v>
      </c>
      <c r="M52" s="19">
        <v>0</v>
      </c>
      <c r="N52" s="19">
        <v>0</v>
      </c>
      <c r="O52" s="18">
        <f t="shared" si="30"/>
        <v>1772.7</v>
      </c>
      <c r="P52" s="19">
        <v>0</v>
      </c>
      <c r="Q52" s="19">
        <v>0</v>
      </c>
      <c r="R52" s="19">
        <v>1772.7</v>
      </c>
      <c r="S52" s="19">
        <v>0</v>
      </c>
      <c r="T52" s="18">
        <f t="shared" si="31"/>
        <v>0</v>
      </c>
      <c r="U52" s="19">
        <v>0</v>
      </c>
      <c r="V52" s="19">
        <v>0</v>
      </c>
      <c r="W52" s="19">
        <v>0</v>
      </c>
      <c r="X52" s="19">
        <v>0</v>
      </c>
      <c r="Y52" s="18">
        <f t="shared" si="32"/>
        <v>0</v>
      </c>
      <c r="Z52" s="19">
        <v>0</v>
      </c>
      <c r="AA52" s="19">
        <v>0</v>
      </c>
      <c r="AB52" s="19">
        <v>0</v>
      </c>
      <c r="AC52" s="19">
        <v>0</v>
      </c>
      <c r="AD52" s="18">
        <f t="shared" si="33"/>
        <v>0</v>
      </c>
      <c r="AE52" s="19">
        <v>0</v>
      </c>
      <c r="AF52" s="19">
        <v>0</v>
      </c>
      <c r="AG52" s="19">
        <v>0</v>
      </c>
      <c r="AH52" s="19">
        <v>0</v>
      </c>
      <c r="AI52" s="18">
        <f t="shared" si="34"/>
        <v>0</v>
      </c>
      <c r="AJ52" s="19">
        <v>0</v>
      </c>
      <c r="AK52" s="19">
        <v>0</v>
      </c>
      <c r="AL52" s="19">
        <v>0</v>
      </c>
      <c r="AM52" s="19">
        <v>0</v>
      </c>
    </row>
    <row r="53" spans="1:39" s="2" customFormat="1" ht="47.25" hidden="1" outlineLevel="4" x14ac:dyDescent="0.25">
      <c r="A53" s="8" t="s">
        <v>703</v>
      </c>
      <c r="B53" s="42" t="s">
        <v>579</v>
      </c>
      <c r="C53" s="26" t="s">
        <v>32</v>
      </c>
      <c r="D53" s="26" t="s">
        <v>118</v>
      </c>
      <c r="E53" s="20">
        <f t="shared" si="38"/>
        <v>1466.5</v>
      </c>
      <c r="F53" s="38">
        <f t="shared" si="37"/>
        <v>0</v>
      </c>
      <c r="G53" s="38">
        <f t="shared" si="26"/>
        <v>0</v>
      </c>
      <c r="H53" s="38">
        <f t="shared" si="27"/>
        <v>1466.5</v>
      </c>
      <c r="I53" s="38">
        <f t="shared" si="28"/>
        <v>0</v>
      </c>
      <c r="J53" s="18">
        <f t="shared" si="29"/>
        <v>0</v>
      </c>
      <c r="K53" s="19">
        <v>0</v>
      </c>
      <c r="L53" s="19">
        <v>0</v>
      </c>
      <c r="M53" s="19">
        <v>0</v>
      </c>
      <c r="N53" s="19">
        <v>0</v>
      </c>
      <c r="O53" s="18">
        <f t="shared" si="30"/>
        <v>1466.5</v>
      </c>
      <c r="P53" s="19">
        <v>0</v>
      </c>
      <c r="Q53" s="19">
        <v>0</v>
      </c>
      <c r="R53" s="19">
        <v>1466.5</v>
      </c>
      <c r="S53" s="19">
        <v>0</v>
      </c>
      <c r="T53" s="18">
        <f t="shared" si="31"/>
        <v>0</v>
      </c>
      <c r="U53" s="19">
        <v>0</v>
      </c>
      <c r="V53" s="19">
        <v>0</v>
      </c>
      <c r="W53" s="19">
        <v>0</v>
      </c>
      <c r="X53" s="19">
        <v>0</v>
      </c>
      <c r="Y53" s="18">
        <f t="shared" si="32"/>
        <v>0</v>
      </c>
      <c r="Z53" s="19">
        <v>0</v>
      </c>
      <c r="AA53" s="19">
        <v>0</v>
      </c>
      <c r="AB53" s="19">
        <v>0</v>
      </c>
      <c r="AC53" s="19">
        <v>0</v>
      </c>
      <c r="AD53" s="18">
        <f t="shared" si="33"/>
        <v>0</v>
      </c>
      <c r="AE53" s="19">
        <v>0</v>
      </c>
      <c r="AF53" s="19">
        <v>0</v>
      </c>
      <c r="AG53" s="19">
        <v>0</v>
      </c>
      <c r="AH53" s="19">
        <v>0</v>
      </c>
      <c r="AI53" s="18">
        <f t="shared" si="34"/>
        <v>0</v>
      </c>
      <c r="AJ53" s="19">
        <v>0</v>
      </c>
      <c r="AK53" s="19">
        <v>0</v>
      </c>
      <c r="AL53" s="19">
        <v>0</v>
      </c>
      <c r="AM53" s="19">
        <v>0</v>
      </c>
    </row>
    <row r="54" spans="1:39" s="2" customFormat="1" ht="63" hidden="1" outlineLevel="4" x14ac:dyDescent="0.25">
      <c r="A54" s="8" t="s">
        <v>704</v>
      </c>
      <c r="B54" s="42" t="s">
        <v>577</v>
      </c>
      <c r="C54" s="26" t="s">
        <v>32</v>
      </c>
      <c r="D54" s="26" t="s">
        <v>118</v>
      </c>
      <c r="E54" s="20">
        <f t="shared" si="38"/>
        <v>4784.7</v>
      </c>
      <c r="F54" s="38">
        <f t="shared" si="37"/>
        <v>0</v>
      </c>
      <c r="G54" s="38">
        <f t="shared" si="26"/>
        <v>0</v>
      </c>
      <c r="H54" s="38">
        <f t="shared" si="27"/>
        <v>4784.7</v>
      </c>
      <c r="I54" s="38">
        <f t="shared" si="28"/>
        <v>0</v>
      </c>
      <c r="J54" s="18">
        <f t="shared" si="29"/>
        <v>0</v>
      </c>
      <c r="K54" s="19">
        <v>0</v>
      </c>
      <c r="L54" s="19">
        <v>0</v>
      </c>
      <c r="M54" s="19">
        <v>0</v>
      </c>
      <c r="N54" s="19">
        <v>0</v>
      </c>
      <c r="O54" s="18">
        <f t="shared" si="30"/>
        <v>3213.6</v>
      </c>
      <c r="P54" s="19">
        <v>0</v>
      </c>
      <c r="Q54" s="19">
        <v>0</v>
      </c>
      <c r="R54" s="19">
        <v>3213.6</v>
      </c>
      <c r="S54" s="19">
        <v>0</v>
      </c>
      <c r="T54" s="18">
        <f t="shared" si="31"/>
        <v>1571.1000000000001</v>
      </c>
      <c r="U54" s="19">
        <v>0</v>
      </c>
      <c r="V54" s="19">
        <v>0</v>
      </c>
      <c r="W54" s="19">
        <f>3146.3-1575.2</f>
        <v>1571.1000000000001</v>
      </c>
      <c r="X54" s="19">
        <v>0</v>
      </c>
      <c r="Y54" s="18">
        <f t="shared" si="32"/>
        <v>0</v>
      </c>
      <c r="Z54" s="19">
        <v>0</v>
      </c>
      <c r="AA54" s="19">
        <v>0</v>
      </c>
      <c r="AB54" s="19">
        <v>0</v>
      </c>
      <c r="AC54" s="19">
        <v>0</v>
      </c>
      <c r="AD54" s="18">
        <f t="shared" si="33"/>
        <v>0</v>
      </c>
      <c r="AE54" s="19">
        <v>0</v>
      </c>
      <c r="AF54" s="19">
        <v>0</v>
      </c>
      <c r="AG54" s="19">
        <v>0</v>
      </c>
      <c r="AH54" s="19">
        <v>0</v>
      </c>
      <c r="AI54" s="18">
        <f t="shared" si="34"/>
        <v>0</v>
      </c>
      <c r="AJ54" s="19">
        <v>0</v>
      </c>
      <c r="AK54" s="19">
        <v>0</v>
      </c>
      <c r="AL54" s="19">
        <v>0</v>
      </c>
      <c r="AM54" s="19">
        <v>0</v>
      </c>
    </row>
    <row r="55" spans="1:39" s="2" customFormat="1" ht="63" hidden="1" outlineLevel="4" x14ac:dyDescent="0.25">
      <c r="A55" s="8" t="s">
        <v>705</v>
      </c>
      <c r="B55" s="42" t="s">
        <v>724</v>
      </c>
      <c r="C55" s="26" t="s">
        <v>32</v>
      </c>
      <c r="D55" s="26" t="s">
        <v>118</v>
      </c>
      <c r="E55" s="20">
        <f t="shared" si="38"/>
        <v>88.7</v>
      </c>
      <c r="F55" s="38">
        <f t="shared" si="37"/>
        <v>0</v>
      </c>
      <c r="G55" s="38">
        <f t="shared" si="26"/>
        <v>0</v>
      </c>
      <c r="H55" s="38">
        <f t="shared" si="27"/>
        <v>88.7</v>
      </c>
      <c r="I55" s="38">
        <f t="shared" si="28"/>
        <v>0</v>
      </c>
      <c r="J55" s="18">
        <f t="shared" si="29"/>
        <v>0</v>
      </c>
      <c r="K55" s="19">
        <v>0</v>
      </c>
      <c r="L55" s="19">
        <v>0</v>
      </c>
      <c r="M55" s="19">
        <v>0</v>
      </c>
      <c r="N55" s="19">
        <v>0</v>
      </c>
      <c r="O55" s="18">
        <f t="shared" si="30"/>
        <v>88.7</v>
      </c>
      <c r="P55" s="19">
        <v>0</v>
      </c>
      <c r="Q55" s="19">
        <v>0</v>
      </c>
      <c r="R55" s="19">
        <v>88.7</v>
      </c>
      <c r="S55" s="19">
        <v>0</v>
      </c>
      <c r="T55" s="18">
        <f t="shared" si="31"/>
        <v>0</v>
      </c>
      <c r="U55" s="19">
        <v>0</v>
      </c>
      <c r="V55" s="19">
        <v>0</v>
      </c>
      <c r="W55" s="19">
        <v>0</v>
      </c>
      <c r="X55" s="19">
        <v>0</v>
      </c>
      <c r="Y55" s="18">
        <f t="shared" si="32"/>
        <v>0</v>
      </c>
      <c r="Z55" s="19">
        <v>0</v>
      </c>
      <c r="AA55" s="19">
        <v>0</v>
      </c>
      <c r="AB55" s="19">
        <v>0</v>
      </c>
      <c r="AC55" s="19">
        <v>0</v>
      </c>
      <c r="AD55" s="18">
        <f t="shared" si="33"/>
        <v>0</v>
      </c>
      <c r="AE55" s="19">
        <v>0</v>
      </c>
      <c r="AF55" s="19">
        <v>0</v>
      </c>
      <c r="AG55" s="19">
        <v>0</v>
      </c>
      <c r="AH55" s="19">
        <v>0</v>
      </c>
      <c r="AI55" s="18">
        <f t="shared" si="34"/>
        <v>0</v>
      </c>
      <c r="AJ55" s="19">
        <v>0</v>
      </c>
      <c r="AK55" s="19">
        <v>0</v>
      </c>
      <c r="AL55" s="19">
        <v>0</v>
      </c>
      <c r="AM55" s="19">
        <v>0</v>
      </c>
    </row>
    <row r="56" spans="1:39" s="2" customFormat="1" ht="63" hidden="1" outlineLevel="4" x14ac:dyDescent="0.25">
      <c r="A56" s="8" t="s">
        <v>723</v>
      </c>
      <c r="B56" s="42" t="s">
        <v>726</v>
      </c>
      <c r="C56" s="26" t="s">
        <v>32</v>
      </c>
      <c r="D56" s="26" t="s">
        <v>118</v>
      </c>
      <c r="E56" s="20">
        <f t="shared" si="38"/>
        <v>122.6</v>
      </c>
      <c r="F56" s="38">
        <f t="shared" si="37"/>
        <v>0</v>
      </c>
      <c r="G56" s="38">
        <f t="shared" si="26"/>
        <v>0</v>
      </c>
      <c r="H56" s="38">
        <f t="shared" si="27"/>
        <v>122.6</v>
      </c>
      <c r="I56" s="38">
        <f t="shared" si="28"/>
        <v>0</v>
      </c>
      <c r="J56" s="18">
        <f t="shared" si="29"/>
        <v>0</v>
      </c>
      <c r="K56" s="19">
        <v>0</v>
      </c>
      <c r="L56" s="19">
        <v>0</v>
      </c>
      <c r="M56" s="19">
        <v>0</v>
      </c>
      <c r="N56" s="19">
        <v>0</v>
      </c>
      <c r="O56" s="18">
        <f t="shared" si="30"/>
        <v>122.6</v>
      </c>
      <c r="P56" s="19">
        <v>0</v>
      </c>
      <c r="Q56" s="19">
        <v>0</v>
      </c>
      <c r="R56" s="19">
        <v>122.6</v>
      </c>
      <c r="S56" s="19">
        <v>0</v>
      </c>
      <c r="T56" s="18">
        <f t="shared" si="31"/>
        <v>0</v>
      </c>
      <c r="U56" s="19">
        <v>0</v>
      </c>
      <c r="V56" s="19">
        <v>0</v>
      </c>
      <c r="W56" s="19">
        <v>0</v>
      </c>
      <c r="X56" s="19">
        <v>0</v>
      </c>
      <c r="Y56" s="18">
        <f t="shared" si="32"/>
        <v>0</v>
      </c>
      <c r="Z56" s="19">
        <v>0</v>
      </c>
      <c r="AA56" s="19">
        <v>0</v>
      </c>
      <c r="AB56" s="19">
        <v>0</v>
      </c>
      <c r="AC56" s="19">
        <v>0</v>
      </c>
      <c r="AD56" s="18">
        <f t="shared" si="33"/>
        <v>0</v>
      </c>
      <c r="AE56" s="19">
        <v>0</v>
      </c>
      <c r="AF56" s="19">
        <v>0</v>
      </c>
      <c r="AG56" s="19">
        <v>0</v>
      </c>
      <c r="AH56" s="19">
        <v>0</v>
      </c>
      <c r="AI56" s="18">
        <f t="shared" si="34"/>
        <v>0</v>
      </c>
      <c r="AJ56" s="19">
        <v>0</v>
      </c>
      <c r="AK56" s="19">
        <v>0</v>
      </c>
      <c r="AL56" s="19">
        <v>0</v>
      </c>
      <c r="AM56" s="19">
        <v>0</v>
      </c>
    </row>
    <row r="57" spans="1:39" s="2" customFormat="1" ht="63" hidden="1" outlineLevel="4" x14ac:dyDescent="0.25">
      <c r="A57" s="8" t="s">
        <v>725</v>
      </c>
      <c r="B57" s="42" t="s">
        <v>727</v>
      </c>
      <c r="C57" s="26" t="s">
        <v>32</v>
      </c>
      <c r="D57" s="26" t="s">
        <v>118</v>
      </c>
      <c r="E57" s="20">
        <f t="shared" si="38"/>
        <v>408.3</v>
      </c>
      <c r="F57" s="38">
        <f t="shared" si="37"/>
        <v>0</v>
      </c>
      <c r="G57" s="38">
        <f t="shared" si="26"/>
        <v>0</v>
      </c>
      <c r="H57" s="38">
        <f t="shared" si="27"/>
        <v>408.3</v>
      </c>
      <c r="I57" s="38">
        <f t="shared" si="28"/>
        <v>0</v>
      </c>
      <c r="J57" s="18">
        <f t="shared" si="29"/>
        <v>0</v>
      </c>
      <c r="K57" s="19">
        <v>0</v>
      </c>
      <c r="L57" s="19">
        <v>0</v>
      </c>
      <c r="M57" s="19">
        <v>0</v>
      </c>
      <c r="N57" s="19">
        <v>0</v>
      </c>
      <c r="O57" s="18">
        <f t="shared" si="30"/>
        <v>408.3</v>
      </c>
      <c r="P57" s="19">
        <v>0</v>
      </c>
      <c r="Q57" s="19">
        <v>0</v>
      </c>
      <c r="R57" s="19">
        <v>408.3</v>
      </c>
      <c r="S57" s="19">
        <v>0</v>
      </c>
      <c r="T57" s="18">
        <f t="shared" si="31"/>
        <v>0</v>
      </c>
      <c r="U57" s="19">
        <v>0</v>
      </c>
      <c r="V57" s="19">
        <v>0</v>
      </c>
      <c r="W57" s="19">
        <v>0</v>
      </c>
      <c r="X57" s="19">
        <v>0</v>
      </c>
      <c r="Y57" s="18">
        <f t="shared" si="32"/>
        <v>0</v>
      </c>
      <c r="Z57" s="19">
        <v>0</v>
      </c>
      <c r="AA57" s="19">
        <v>0</v>
      </c>
      <c r="AB57" s="19">
        <v>0</v>
      </c>
      <c r="AC57" s="19">
        <v>0</v>
      </c>
      <c r="AD57" s="18">
        <f t="shared" si="33"/>
        <v>0</v>
      </c>
      <c r="AE57" s="19">
        <v>0</v>
      </c>
      <c r="AF57" s="19">
        <v>0</v>
      </c>
      <c r="AG57" s="19">
        <v>0</v>
      </c>
      <c r="AH57" s="19">
        <v>0</v>
      </c>
      <c r="AI57" s="18">
        <f t="shared" si="34"/>
        <v>0</v>
      </c>
      <c r="AJ57" s="19">
        <v>0</v>
      </c>
      <c r="AK57" s="19">
        <v>0</v>
      </c>
      <c r="AL57" s="19">
        <v>0</v>
      </c>
      <c r="AM57" s="19">
        <v>0</v>
      </c>
    </row>
    <row r="58" spans="1:39" s="2" customFormat="1" ht="47.25" hidden="1" outlineLevel="4" x14ac:dyDescent="0.25">
      <c r="A58" s="8" t="s">
        <v>728</v>
      </c>
      <c r="B58" s="42" t="s">
        <v>783</v>
      </c>
      <c r="C58" s="26" t="s">
        <v>32</v>
      </c>
      <c r="D58" s="26" t="s">
        <v>118</v>
      </c>
      <c r="E58" s="20">
        <f t="shared" si="38"/>
        <v>3812.7</v>
      </c>
      <c r="F58" s="38">
        <f t="shared" si="37"/>
        <v>0</v>
      </c>
      <c r="G58" s="38">
        <f t="shared" si="26"/>
        <v>0</v>
      </c>
      <c r="H58" s="38">
        <f t="shared" si="27"/>
        <v>3812.7</v>
      </c>
      <c r="I58" s="38">
        <f t="shared" si="28"/>
        <v>0</v>
      </c>
      <c r="J58" s="18">
        <f t="shared" si="29"/>
        <v>0</v>
      </c>
      <c r="K58" s="19">
        <v>0</v>
      </c>
      <c r="L58" s="19">
        <v>0</v>
      </c>
      <c r="M58" s="19">
        <v>0</v>
      </c>
      <c r="N58" s="19">
        <v>0</v>
      </c>
      <c r="O58" s="18">
        <f t="shared" si="30"/>
        <v>0</v>
      </c>
      <c r="P58" s="19">
        <v>0</v>
      </c>
      <c r="Q58" s="19">
        <v>0</v>
      </c>
      <c r="R58" s="19">
        <v>0</v>
      </c>
      <c r="S58" s="19">
        <v>0</v>
      </c>
      <c r="T58" s="18">
        <f t="shared" si="31"/>
        <v>3812.7</v>
      </c>
      <c r="U58" s="19">
        <v>0</v>
      </c>
      <c r="V58" s="19">
        <v>0</v>
      </c>
      <c r="W58" s="19">
        <v>3812.7</v>
      </c>
      <c r="X58" s="19">
        <v>0</v>
      </c>
      <c r="Y58" s="18">
        <f t="shared" si="32"/>
        <v>0</v>
      </c>
      <c r="Z58" s="19">
        <v>0</v>
      </c>
      <c r="AA58" s="19">
        <v>0</v>
      </c>
      <c r="AB58" s="19">
        <v>0</v>
      </c>
      <c r="AC58" s="19">
        <v>0</v>
      </c>
      <c r="AD58" s="18">
        <f t="shared" si="33"/>
        <v>0</v>
      </c>
      <c r="AE58" s="19">
        <v>0</v>
      </c>
      <c r="AF58" s="19">
        <v>0</v>
      </c>
      <c r="AG58" s="19">
        <v>0</v>
      </c>
      <c r="AH58" s="19">
        <v>0</v>
      </c>
      <c r="AI58" s="18">
        <f t="shared" si="34"/>
        <v>0</v>
      </c>
      <c r="AJ58" s="19">
        <v>0</v>
      </c>
      <c r="AK58" s="19">
        <v>0</v>
      </c>
      <c r="AL58" s="19">
        <v>0</v>
      </c>
      <c r="AM58" s="19">
        <v>0</v>
      </c>
    </row>
    <row r="59" spans="1:39" s="2" customFormat="1" ht="78.75" hidden="1" outlineLevel="4" x14ac:dyDescent="0.25">
      <c r="A59" s="8" t="s">
        <v>793</v>
      </c>
      <c r="B59" s="42" t="s">
        <v>794</v>
      </c>
      <c r="C59" s="26" t="s">
        <v>32</v>
      </c>
      <c r="D59" s="26" t="s">
        <v>118</v>
      </c>
      <c r="E59" s="20">
        <f t="shared" si="38"/>
        <v>215.7</v>
      </c>
      <c r="F59" s="38">
        <f t="shared" si="37"/>
        <v>0</v>
      </c>
      <c r="G59" s="38">
        <f t="shared" si="26"/>
        <v>0</v>
      </c>
      <c r="H59" s="38">
        <f t="shared" si="27"/>
        <v>215.7</v>
      </c>
      <c r="I59" s="38">
        <f t="shared" si="28"/>
        <v>0</v>
      </c>
      <c r="J59" s="18">
        <f t="shared" si="29"/>
        <v>0</v>
      </c>
      <c r="K59" s="19">
        <v>0</v>
      </c>
      <c r="L59" s="19">
        <v>0</v>
      </c>
      <c r="M59" s="19">
        <v>0</v>
      </c>
      <c r="N59" s="19">
        <v>0</v>
      </c>
      <c r="O59" s="18">
        <f t="shared" si="30"/>
        <v>215.7</v>
      </c>
      <c r="P59" s="19">
        <v>0</v>
      </c>
      <c r="Q59" s="19">
        <v>0</v>
      </c>
      <c r="R59" s="19">
        <v>215.7</v>
      </c>
      <c r="S59" s="19">
        <v>0</v>
      </c>
      <c r="T59" s="18">
        <f t="shared" si="31"/>
        <v>0</v>
      </c>
      <c r="U59" s="19">
        <v>0</v>
      </c>
      <c r="V59" s="19">
        <v>0</v>
      </c>
      <c r="W59" s="19">
        <v>0</v>
      </c>
      <c r="X59" s="19">
        <v>0</v>
      </c>
      <c r="Y59" s="18">
        <f t="shared" si="32"/>
        <v>0</v>
      </c>
      <c r="Z59" s="19">
        <v>0</v>
      </c>
      <c r="AA59" s="19">
        <v>0</v>
      </c>
      <c r="AB59" s="19">
        <v>0</v>
      </c>
      <c r="AC59" s="19">
        <v>0</v>
      </c>
      <c r="AD59" s="18">
        <f t="shared" si="33"/>
        <v>0</v>
      </c>
      <c r="AE59" s="19">
        <v>0</v>
      </c>
      <c r="AF59" s="19">
        <v>0</v>
      </c>
      <c r="AG59" s="19">
        <v>0</v>
      </c>
      <c r="AH59" s="19">
        <v>0</v>
      </c>
      <c r="AI59" s="18">
        <f t="shared" si="34"/>
        <v>0</v>
      </c>
      <c r="AJ59" s="19">
        <v>0</v>
      </c>
      <c r="AK59" s="19">
        <v>0</v>
      </c>
      <c r="AL59" s="19">
        <v>0</v>
      </c>
      <c r="AM59" s="19">
        <v>0</v>
      </c>
    </row>
    <row r="60" spans="1:39" s="2" customFormat="1" ht="45" hidden="1" outlineLevel="4" x14ac:dyDescent="0.25">
      <c r="A60" s="8" t="s">
        <v>1000</v>
      </c>
      <c r="B60" s="125" t="s">
        <v>873</v>
      </c>
      <c r="C60" s="26" t="s">
        <v>32</v>
      </c>
      <c r="D60" s="26" t="s">
        <v>118</v>
      </c>
      <c r="E60" s="20">
        <f t="shared" ref="E60:E70" si="39">H60</f>
        <v>3044</v>
      </c>
      <c r="F60" s="38">
        <f t="shared" ref="F60:F76" si="40">K60+P60+U60+Z60+AE60+AJ60</f>
        <v>0</v>
      </c>
      <c r="G60" s="38">
        <f t="shared" ref="G60:G76" si="41">L60+Q60+V60+AA60+AF60+AK60</f>
        <v>0</v>
      </c>
      <c r="H60" s="38">
        <f t="shared" ref="H60:H70" si="42">M60+R60+W60+AB60+AG60+AL60</f>
        <v>3044</v>
      </c>
      <c r="I60" s="38">
        <f t="shared" ref="I60:I76" si="43">N60+S60+X60+AC60+AH60+AM60</f>
        <v>0</v>
      </c>
      <c r="J60" s="18">
        <f t="shared" ref="J60:J76" si="44">SUM(K60:N60)</f>
        <v>0</v>
      </c>
      <c r="K60" s="19">
        <v>0</v>
      </c>
      <c r="L60" s="19">
        <v>0</v>
      </c>
      <c r="M60" s="19">
        <v>0</v>
      </c>
      <c r="N60" s="19">
        <v>0</v>
      </c>
      <c r="O60" s="18"/>
      <c r="P60" s="19"/>
      <c r="Q60" s="19"/>
      <c r="R60" s="19"/>
      <c r="S60" s="19"/>
      <c r="T60" s="18">
        <f>W60</f>
        <v>3044</v>
      </c>
      <c r="U60" s="19"/>
      <c r="V60" s="19">
        <v>0</v>
      </c>
      <c r="W60" s="45">
        <v>3044</v>
      </c>
      <c r="X60" s="19">
        <v>0</v>
      </c>
      <c r="Y60" s="18">
        <f t="shared" si="32"/>
        <v>0</v>
      </c>
      <c r="Z60" s="19"/>
      <c r="AA60" s="19">
        <v>0</v>
      </c>
      <c r="AB60" s="19">
        <v>0</v>
      </c>
      <c r="AC60" s="19">
        <v>0</v>
      </c>
      <c r="AD60" s="18">
        <f t="shared" ref="AD60:AD74" si="45">SUM(AE60:AH60)</f>
        <v>0</v>
      </c>
      <c r="AE60" s="19">
        <v>0</v>
      </c>
      <c r="AF60" s="19">
        <v>0</v>
      </c>
      <c r="AG60" s="19">
        <v>0</v>
      </c>
      <c r="AH60" s="19">
        <v>0</v>
      </c>
      <c r="AI60" s="18">
        <f t="shared" ref="AI60:AI74" si="46">SUM(AJ60:AM60)</f>
        <v>0</v>
      </c>
      <c r="AJ60" s="19">
        <v>0</v>
      </c>
      <c r="AK60" s="19">
        <v>0</v>
      </c>
      <c r="AL60" s="19">
        <v>0</v>
      </c>
      <c r="AM60" s="19">
        <v>0</v>
      </c>
    </row>
    <row r="61" spans="1:39" s="2" customFormat="1" ht="60" hidden="1" outlineLevel="4" x14ac:dyDescent="0.25">
      <c r="A61" s="8" t="s">
        <v>841</v>
      </c>
      <c r="B61" s="125" t="s">
        <v>874</v>
      </c>
      <c r="C61" s="26" t="s">
        <v>32</v>
      </c>
      <c r="D61" s="26" t="s">
        <v>118</v>
      </c>
      <c r="E61" s="20">
        <f t="shared" si="39"/>
        <v>590</v>
      </c>
      <c r="F61" s="38">
        <f t="shared" si="40"/>
        <v>0</v>
      </c>
      <c r="G61" s="38">
        <f t="shared" si="41"/>
        <v>0</v>
      </c>
      <c r="H61" s="38">
        <f t="shared" si="42"/>
        <v>590</v>
      </c>
      <c r="I61" s="38">
        <f t="shared" si="43"/>
        <v>0</v>
      </c>
      <c r="J61" s="18">
        <f t="shared" si="44"/>
        <v>0</v>
      </c>
      <c r="K61" s="19">
        <v>0</v>
      </c>
      <c r="L61" s="19">
        <v>0</v>
      </c>
      <c r="M61" s="19">
        <v>0</v>
      </c>
      <c r="N61" s="19">
        <v>0</v>
      </c>
      <c r="O61" s="18"/>
      <c r="P61" s="19"/>
      <c r="Q61" s="19"/>
      <c r="R61" s="19"/>
      <c r="S61" s="19"/>
      <c r="T61" s="18">
        <f>W61</f>
        <v>590</v>
      </c>
      <c r="U61" s="19"/>
      <c r="V61" s="19">
        <v>0</v>
      </c>
      <c r="W61" s="19">
        <f>900-310</f>
        <v>590</v>
      </c>
      <c r="X61" s="19">
        <v>0</v>
      </c>
      <c r="Y61" s="18">
        <f t="shared" si="32"/>
        <v>0</v>
      </c>
      <c r="Z61" s="19"/>
      <c r="AA61" s="19">
        <v>0</v>
      </c>
      <c r="AB61" s="19">
        <v>0</v>
      </c>
      <c r="AC61" s="19">
        <v>0</v>
      </c>
      <c r="AD61" s="18">
        <f t="shared" si="45"/>
        <v>0</v>
      </c>
      <c r="AE61" s="19">
        <v>0</v>
      </c>
      <c r="AF61" s="19">
        <v>0</v>
      </c>
      <c r="AG61" s="19">
        <v>0</v>
      </c>
      <c r="AH61" s="19">
        <v>0</v>
      </c>
      <c r="AI61" s="18">
        <f t="shared" si="46"/>
        <v>0</v>
      </c>
      <c r="AJ61" s="19">
        <v>0</v>
      </c>
      <c r="AK61" s="19">
        <v>0</v>
      </c>
      <c r="AL61" s="19">
        <v>0</v>
      </c>
      <c r="AM61" s="19">
        <v>0</v>
      </c>
    </row>
    <row r="62" spans="1:39" s="2" customFormat="1" ht="45" hidden="1" outlineLevel="4" x14ac:dyDescent="0.25">
      <c r="A62" s="8" t="s">
        <v>882</v>
      </c>
      <c r="B62" s="125" t="s">
        <v>875</v>
      </c>
      <c r="C62" s="26" t="s">
        <v>32</v>
      </c>
      <c r="D62" s="26" t="s">
        <v>118</v>
      </c>
      <c r="E62" s="20">
        <f t="shared" si="39"/>
        <v>2552.1999999999998</v>
      </c>
      <c r="F62" s="38">
        <f t="shared" si="40"/>
        <v>0</v>
      </c>
      <c r="G62" s="38">
        <f t="shared" si="41"/>
        <v>0</v>
      </c>
      <c r="H62" s="38">
        <f t="shared" si="42"/>
        <v>2552.1999999999998</v>
      </c>
      <c r="I62" s="38">
        <f t="shared" si="43"/>
        <v>0</v>
      </c>
      <c r="J62" s="18">
        <f t="shared" si="44"/>
        <v>0</v>
      </c>
      <c r="K62" s="19">
        <v>0</v>
      </c>
      <c r="L62" s="19">
        <v>0</v>
      </c>
      <c r="M62" s="19">
        <v>0</v>
      </c>
      <c r="N62" s="19">
        <v>0</v>
      </c>
      <c r="O62" s="18"/>
      <c r="P62" s="19"/>
      <c r="Q62" s="19"/>
      <c r="R62" s="19"/>
      <c r="S62" s="19"/>
      <c r="T62" s="18">
        <f t="shared" ref="T62:T70" si="47">W62</f>
        <v>2552.1999999999998</v>
      </c>
      <c r="U62" s="19"/>
      <c r="V62" s="19">
        <v>0</v>
      </c>
      <c r="W62" s="19">
        <f>3200-647.8</f>
        <v>2552.1999999999998</v>
      </c>
      <c r="X62" s="19">
        <v>0</v>
      </c>
      <c r="Y62" s="18">
        <f t="shared" si="32"/>
        <v>0</v>
      </c>
      <c r="Z62" s="19"/>
      <c r="AA62" s="19">
        <v>0</v>
      </c>
      <c r="AB62" s="19">
        <v>0</v>
      </c>
      <c r="AC62" s="19">
        <v>0</v>
      </c>
      <c r="AD62" s="18">
        <f t="shared" si="45"/>
        <v>0</v>
      </c>
      <c r="AE62" s="19">
        <v>0</v>
      </c>
      <c r="AF62" s="19">
        <v>0</v>
      </c>
      <c r="AG62" s="19">
        <v>0</v>
      </c>
      <c r="AH62" s="19">
        <v>0</v>
      </c>
      <c r="AI62" s="18">
        <f t="shared" si="46"/>
        <v>0</v>
      </c>
      <c r="AJ62" s="19">
        <v>0</v>
      </c>
      <c r="AK62" s="19">
        <v>0</v>
      </c>
      <c r="AL62" s="19">
        <v>0</v>
      </c>
      <c r="AM62" s="19">
        <v>0</v>
      </c>
    </row>
    <row r="63" spans="1:39" s="2" customFormat="1" ht="42.75" hidden="1" customHeight="1" outlineLevel="4" x14ac:dyDescent="0.25">
      <c r="A63" s="8" t="s">
        <v>883</v>
      </c>
      <c r="B63" s="125" t="s">
        <v>876</v>
      </c>
      <c r="C63" s="26" t="s">
        <v>32</v>
      </c>
      <c r="D63" s="26" t="s">
        <v>118</v>
      </c>
      <c r="E63" s="20">
        <f t="shared" si="39"/>
        <v>900</v>
      </c>
      <c r="F63" s="38">
        <f t="shared" si="40"/>
        <v>0</v>
      </c>
      <c r="G63" s="38">
        <f t="shared" si="41"/>
        <v>0</v>
      </c>
      <c r="H63" s="38">
        <f t="shared" si="42"/>
        <v>900</v>
      </c>
      <c r="I63" s="38">
        <f t="shared" si="43"/>
        <v>0</v>
      </c>
      <c r="J63" s="18">
        <f t="shared" si="44"/>
        <v>0</v>
      </c>
      <c r="K63" s="19">
        <v>0</v>
      </c>
      <c r="L63" s="19">
        <v>0</v>
      </c>
      <c r="M63" s="19">
        <v>0</v>
      </c>
      <c r="N63" s="19">
        <v>0</v>
      </c>
      <c r="O63" s="18"/>
      <c r="P63" s="19"/>
      <c r="Q63" s="19"/>
      <c r="R63" s="19"/>
      <c r="S63" s="19"/>
      <c r="T63" s="18">
        <f t="shared" si="47"/>
        <v>900</v>
      </c>
      <c r="U63" s="19"/>
      <c r="V63" s="19">
        <v>0</v>
      </c>
      <c r="W63" s="19">
        <v>900</v>
      </c>
      <c r="X63" s="19">
        <v>0</v>
      </c>
      <c r="Y63" s="18">
        <f t="shared" si="32"/>
        <v>0</v>
      </c>
      <c r="Z63" s="19"/>
      <c r="AA63" s="19">
        <v>0</v>
      </c>
      <c r="AB63" s="19">
        <v>0</v>
      </c>
      <c r="AC63" s="19">
        <v>0</v>
      </c>
      <c r="AD63" s="18">
        <f t="shared" si="45"/>
        <v>0</v>
      </c>
      <c r="AE63" s="19">
        <v>0</v>
      </c>
      <c r="AF63" s="19">
        <v>0</v>
      </c>
      <c r="AG63" s="19">
        <v>0</v>
      </c>
      <c r="AH63" s="19">
        <v>0</v>
      </c>
      <c r="AI63" s="18">
        <f t="shared" si="46"/>
        <v>0</v>
      </c>
      <c r="AJ63" s="19">
        <v>0</v>
      </c>
      <c r="AK63" s="19">
        <v>0</v>
      </c>
      <c r="AL63" s="19">
        <v>0</v>
      </c>
      <c r="AM63" s="19">
        <v>0</v>
      </c>
    </row>
    <row r="64" spans="1:39" s="2" customFormat="1" ht="62.25" hidden="1" customHeight="1" outlineLevel="4" x14ac:dyDescent="0.25">
      <c r="A64" s="8" t="s">
        <v>884</v>
      </c>
      <c r="B64" s="125" t="s">
        <v>877</v>
      </c>
      <c r="C64" s="26" t="s">
        <v>32</v>
      </c>
      <c r="D64" s="26" t="s">
        <v>118</v>
      </c>
      <c r="E64" s="20">
        <f t="shared" si="39"/>
        <v>154.30000000000001</v>
      </c>
      <c r="F64" s="38">
        <f t="shared" si="40"/>
        <v>0</v>
      </c>
      <c r="G64" s="38">
        <f t="shared" si="41"/>
        <v>0</v>
      </c>
      <c r="H64" s="38">
        <f t="shared" si="42"/>
        <v>154.30000000000001</v>
      </c>
      <c r="I64" s="38">
        <f t="shared" si="43"/>
        <v>0</v>
      </c>
      <c r="J64" s="18">
        <f t="shared" si="44"/>
        <v>0</v>
      </c>
      <c r="K64" s="19">
        <v>0</v>
      </c>
      <c r="L64" s="19">
        <v>0</v>
      </c>
      <c r="M64" s="19">
        <v>0</v>
      </c>
      <c r="N64" s="19">
        <v>0</v>
      </c>
      <c r="O64" s="18"/>
      <c r="P64" s="19"/>
      <c r="Q64" s="19"/>
      <c r="R64" s="19"/>
      <c r="S64" s="19"/>
      <c r="T64" s="18">
        <f t="shared" si="47"/>
        <v>154.30000000000001</v>
      </c>
      <c r="U64" s="19"/>
      <c r="V64" s="19">
        <v>0</v>
      </c>
      <c r="W64" s="19">
        <v>154.30000000000001</v>
      </c>
      <c r="X64" s="19">
        <v>0</v>
      </c>
      <c r="Y64" s="18">
        <f t="shared" si="32"/>
        <v>0</v>
      </c>
      <c r="Z64" s="19"/>
      <c r="AA64" s="19">
        <v>0</v>
      </c>
      <c r="AB64" s="19">
        <v>0</v>
      </c>
      <c r="AC64" s="19">
        <v>0</v>
      </c>
      <c r="AD64" s="18">
        <f t="shared" si="45"/>
        <v>0</v>
      </c>
      <c r="AE64" s="19">
        <v>0</v>
      </c>
      <c r="AF64" s="19">
        <v>0</v>
      </c>
      <c r="AG64" s="19">
        <v>0</v>
      </c>
      <c r="AH64" s="19">
        <v>0</v>
      </c>
      <c r="AI64" s="18">
        <f t="shared" si="46"/>
        <v>0</v>
      </c>
      <c r="AJ64" s="19">
        <v>0</v>
      </c>
      <c r="AK64" s="19">
        <v>0</v>
      </c>
      <c r="AL64" s="19">
        <v>0</v>
      </c>
      <c r="AM64" s="19">
        <v>0</v>
      </c>
    </row>
    <row r="65" spans="1:39" s="2" customFormat="1" ht="45" hidden="1" outlineLevel="4" x14ac:dyDescent="0.25">
      <c r="A65" s="8" t="s">
        <v>885</v>
      </c>
      <c r="B65" s="125" t="s">
        <v>878</v>
      </c>
      <c r="C65" s="26" t="s">
        <v>32</v>
      </c>
      <c r="D65" s="26" t="s">
        <v>118</v>
      </c>
      <c r="E65" s="20">
        <f t="shared" si="39"/>
        <v>1900</v>
      </c>
      <c r="F65" s="38">
        <f t="shared" si="40"/>
        <v>0</v>
      </c>
      <c r="G65" s="38">
        <f t="shared" si="41"/>
        <v>0</v>
      </c>
      <c r="H65" s="38">
        <f t="shared" si="42"/>
        <v>1900</v>
      </c>
      <c r="I65" s="38">
        <f t="shared" si="43"/>
        <v>0</v>
      </c>
      <c r="J65" s="18">
        <f t="shared" si="44"/>
        <v>0</v>
      </c>
      <c r="K65" s="19">
        <v>0</v>
      </c>
      <c r="L65" s="19">
        <v>0</v>
      </c>
      <c r="M65" s="19">
        <v>0</v>
      </c>
      <c r="N65" s="19">
        <v>0</v>
      </c>
      <c r="O65" s="18"/>
      <c r="P65" s="19"/>
      <c r="Q65" s="19"/>
      <c r="R65" s="19"/>
      <c r="S65" s="19"/>
      <c r="T65" s="18">
        <f t="shared" si="47"/>
        <v>1900</v>
      </c>
      <c r="U65" s="19"/>
      <c r="V65" s="19">
        <v>0</v>
      </c>
      <c r="W65" s="19">
        <v>1900</v>
      </c>
      <c r="X65" s="19">
        <v>0</v>
      </c>
      <c r="Y65" s="18">
        <f t="shared" si="32"/>
        <v>0</v>
      </c>
      <c r="Z65" s="19"/>
      <c r="AA65" s="19">
        <v>0</v>
      </c>
      <c r="AB65" s="19">
        <v>0</v>
      </c>
      <c r="AC65" s="19">
        <v>0</v>
      </c>
      <c r="AD65" s="18">
        <f t="shared" si="45"/>
        <v>0</v>
      </c>
      <c r="AE65" s="19">
        <v>0</v>
      </c>
      <c r="AF65" s="19">
        <v>0</v>
      </c>
      <c r="AG65" s="19">
        <v>0</v>
      </c>
      <c r="AH65" s="19">
        <v>0</v>
      </c>
      <c r="AI65" s="18">
        <f t="shared" si="46"/>
        <v>0</v>
      </c>
      <c r="AJ65" s="19">
        <v>0</v>
      </c>
      <c r="AK65" s="19">
        <v>0</v>
      </c>
      <c r="AL65" s="19">
        <v>0</v>
      </c>
      <c r="AM65" s="19">
        <v>0</v>
      </c>
    </row>
    <row r="66" spans="1:39" s="2" customFormat="1" ht="89.25" hidden="1" customHeight="1" outlineLevel="4" x14ac:dyDescent="0.25">
      <c r="A66" s="8" t="s">
        <v>886</v>
      </c>
      <c r="B66" s="125" t="s">
        <v>901</v>
      </c>
      <c r="C66" s="26" t="s">
        <v>32</v>
      </c>
      <c r="D66" s="26" t="s">
        <v>118</v>
      </c>
      <c r="E66" s="20">
        <f t="shared" si="39"/>
        <v>1400</v>
      </c>
      <c r="F66" s="38">
        <f t="shared" si="40"/>
        <v>0</v>
      </c>
      <c r="G66" s="38">
        <f t="shared" si="41"/>
        <v>0</v>
      </c>
      <c r="H66" s="38">
        <f t="shared" si="42"/>
        <v>1400</v>
      </c>
      <c r="I66" s="38">
        <f t="shared" si="43"/>
        <v>0</v>
      </c>
      <c r="J66" s="18">
        <f t="shared" si="44"/>
        <v>0</v>
      </c>
      <c r="K66" s="19">
        <v>0</v>
      </c>
      <c r="L66" s="19">
        <v>0</v>
      </c>
      <c r="M66" s="19">
        <v>0</v>
      </c>
      <c r="N66" s="19">
        <v>0</v>
      </c>
      <c r="O66" s="18"/>
      <c r="P66" s="19"/>
      <c r="Q66" s="19"/>
      <c r="R66" s="19"/>
      <c r="S66" s="19"/>
      <c r="T66" s="18">
        <f t="shared" si="47"/>
        <v>1400</v>
      </c>
      <c r="U66" s="19"/>
      <c r="V66" s="19">
        <v>0</v>
      </c>
      <c r="W66" s="19">
        <v>1400</v>
      </c>
      <c r="X66" s="19">
        <v>0</v>
      </c>
      <c r="Y66" s="18">
        <f t="shared" si="32"/>
        <v>0</v>
      </c>
      <c r="Z66" s="19"/>
      <c r="AA66" s="19">
        <v>0</v>
      </c>
      <c r="AB66" s="19">
        <v>0</v>
      </c>
      <c r="AC66" s="19">
        <v>0</v>
      </c>
      <c r="AD66" s="18">
        <f t="shared" si="45"/>
        <v>0</v>
      </c>
      <c r="AE66" s="19">
        <v>0</v>
      </c>
      <c r="AF66" s="19">
        <v>0</v>
      </c>
      <c r="AG66" s="19">
        <v>0</v>
      </c>
      <c r="AH66" s="19">
        <v>0</v>
      </c>
      <c r="AI66" s="18">
        <f t="shared" si="46"/>
        <v>0</v>
      </c>
      <c r="AJ66" s="19">
        <v>0</v>
      </c>
      <c r="AK66" s="19">
        <v>0</v>
      </c>
      <c r="AL66" s="19">
        <v>0</v>
      </c>
      <c r="AM66" s="19">
        <v>0</v>
      </c>
    </row>
    <row r="67" spans="1:39" s="2" customFormat="1" ht="45" hidden="1" outlineLevel="4" x14ac:dyDescent="0.25">
      <c r="A67" s="8" t="s">
        <v>887</v>
      </c>
      <c r="B67" s="125" t="s">
        <v>902</v>
      </c>
      <c r="C67" s="26" t="s">
        <v>32</v>
      </c>
      <c r="D67" s="26" t="s">
        <v>118</v>
      </c>
      <c r="E67" s="20">
        <f t="shared" si="39"/>
        <v>4000</v>
      </c>
      <c r="F67" s="38">
        <f t="shared" si="40"/>
        <v>0</v>
      </c>
      <c r="G67" s="38">
        <f t="shared" si="41"/>
        <v>0</v>
      </c>
      <c r="H67" s="38">
        <f t="shared" si="42"/>
        <v>4000</v>
      </c>
      <c r="I67" s="38">
        <f t="shared" si="43"/>
        <v>0</v>
      </c>
      <c r="J67" s="18">
        <f t="shared" si="44"/>
        <v>0</v>
      </c>
      <c r="K67" s="19">
        <v>0</v>
      </c>
      <c r="L67" s="19">
        <v>0</v>
      </c>
      <c r="M67" s="19">
        <v>0</v>
      </c>
      <c r="N67" s="19">
        <v>0</v>
      </c>
      <c r="O67" s="18"/>
      <c r="P67" s="19"/>
      <c r="Q67" s="19"/>
      <c r="R67" s="19"/>
      <c r="S67" s="19"/>
      <c r="T67" s="18">
        <f t="shared" si="47"/>
        <v>4000</v>
      </c>
      <c r="U67" s="19"/>
      <c r="V67" s="19">
        <v>0</v>
      </c>
      <c r="W67" s="19">
        <f>3200+800</f>
        <v>4000</v>
      </c>
      <c r="X67" s="19">
        <v>0</v>
      </c>
      <c r="Y67" s="18">
        <f t="shared" si="32"/>
        <v>0</v>
      </c>
      <c r="Z67" s="19"/>
      <c r="AA67" s="19">
        <v>0</v>
      </c>
      <c r="AB67" s="19">
        <v>0</v>
      </c>
      <c r="AC67" s="19">
        <v>0</v>
      </c>
      <c r="AD67" s="18">
        <f t="shared" si="45"/>
        <v>0</v>
      </c>
      <c r="AE67" s="19">
        <v>0</v>
      </c>
      <c r="AF67" s="19">
        <v>0</v>
      </c>
      <c r="AG67" s="19">
        <v>0</v>
      </c>
      <c r="AH67" s="19">
        <v>0</v>
      </c>
      <c r="AI67" s="18">
        <f t="shared" si="46"/>
        <v>0</v>
      </c>
      <c r="AJ67" s="19">
        <v>0</v>
      </c>
      <c r="AK67" s="19">
        <v>0</v>
      </c>
      <c r="AL67" s="19">
        <v>0</v>
      </c>
      <c r="AM67" s="19">
        <v>0</v>
      </c>
    </row>
    <row r="68" spans="1:39" s="2" customFormat="1" ht="60" hidden="1" outlineLevel="4" x14ac:dyDescent="0.25">
      <c r="A68" s="8" t="s">
        <v>888</v>
      </c>
      <c r="B68" s="125" t="s">
        <v>879</v>
      </c>
      <c r="C68" s="26" t="s">
        <v>32</v>
      </c>
      <c r="D68" s="26" t="s">
        <v>118</v>
      </c>
      <c r="E68" s="20">
        <f t="shared" si="39"/>
        <v>750</v>
      </c>
      <c r="F68" s="38">
        <f t="shared" si="40"/>
        <v>0</v>
      </c>
      <c r="G68" s="38">
        <f t="shared" si="41"/>
        <v>0</v>
      </c>
      <c r="H68" s="38">
        <f t="shared" si="42"/>
        <v>750</v>
      </c>
      <c r="I68" s="38">
        <f t="shared" si="43"/>
        <v>0</v>
      </c>
      <c r="J68" s="18">
        <f t="shared" si="44"/>
        <v>0</v>
      </c>
      <c r="K68" s="19">
        <v>0</v>
      </c>
      <c r="L68" s="19">
        <v>0</v>
      </c>
      <c r="M68" s="19">
        <v>0</v>
      </c>
      <c r="N68" s="19">
        <v>0</v>
      </c>
      <c r="O68" s="18"/>
      <c r="P68" s="19"/>
      <c r="Q68" s="19"/>
      <c r="R68" s="19"/>
      <c r="S68" s="19"/>
      <c r="T68" s="18">
        <f t="shared" si="47"/>
        <v>750</v>
      </c>
      <c r="U68" s="19"/>
      <c r="V68" s="19">
        <v>0</v>
      </c>
      <c r="W68" s="19">
        <v>750</v>
      </c>
      <c r="X68" s="19">
        <v>0</v>
      </c>
      <c r="Y68" s="18">
        <f t="shared" si="32"/>
        <v>0</v>
      </c>
      <c r="Z68" s="19"/>
      <c r="AA68" s="19">
        <v>0</v>
      </c>
      <c r="AB68" s="19">
        <v>0</v>
      </c>
      <c r="AC68" s="19">
        <v>0</v>
      </c>
      <c r="AD68" s="18">
        <f t="shared" si="45"/>
        <v>0</v>
      </c>
      <c r="AE68" s="19">
        <v>0</v>
      </c>
      <c r="AF68" s="19">
        <v>0</v>
      </c>
      <c r="AG68" s="19">
        <v>0</v>
      </c>
      <c r="AH68" s="19">
        <v>0</v>
      </c>
      <c r="AI68" s="18">
        <f t="shared" si="46"/>
        <v>0</v>
      </c>
      <c r="AJ68" s="19">
        <v>0</v>
      </c>
      <c r="AK68" s="19">
        <v>0</v>
      </c>
      <c r="AL68" s="19">
        <v>0</v>
      </c>
      <c r="AM68" s="19">
        <v>0</v>
      </c>
    </row>
    <row r="69" spans="1:39" s="2" customFormat="1" ht="60" hidden="1" outlineLevel="4" x14ac:dyDescent="0.25">
      <c r="A69" s="8" t="s">
        <v>889</v>
      </c>
      <c r="B69" s="125" t="s">
        <v>880</v>
      </c>
      <c r="C69" s="26" t="s">
        <v>32</v>
      </c>
      <c r="D69" s="26" t="s">
        <v>118</v>
      </c>
      <c r="E69" s="20">
        <f t="shared" si="39"/>
        <v>750</v>
      </c>
      <c r="F69" s="38">
        <f t="shared" si="40"/>
        <v>0</v>
      </c>
      <c r="G69" s="38">
        <f t="shared" si="41"/>
        <v>0</v>
      </c>
      <c r="H69" s="38">
        <f t="shared" si="42"/>
        <v>750</v>
      </c>
      <c r="I69" s="38">
        <f t="shared" si="43"/>
        <v>0</v>
      </c>
      <c r="J69" s="18">
        <f t="shared" si="44"/>
        <v>0</v>
      </c>
      <c r="K69" s="19">
        <v>0</v>
      </c>
      <c r="L69" s="19">
        <v>0</v>
      </c>
      <c r="M69" s="19">
        <v>0</v>
      </c>
      <c r="N69" s="19">
        <v>0</v>
      </c>
      <c r="O69" s="18"/>
      <c r="P69" s="19"/>
      <c r="Q69" s="19"/>
      <c r="R69" s="19"/>
      <c r="S69" s="19"/>
      <c r="T69" s="18">
        <f t="shared" si="47"/>
        <v>750</v>
      </c>
      <c r="U69" s="19"/>
      <c r="V69" s="19">
        <v>0</v>
      </c>
      <c r="W69" s="19">
        <v>750</v>
      </c>
      <c r="X69" s="19">
        <v>0</v>
      </c>
      <c r="Y69" s="18">
        <f t="shared" si="32"/>
        <v>0</v>
      </c>
      <c r="Z69" s="19"/>
      <c r="AA69" s="19">
        <v>0</v>
      </c>
      <c r="AB69" s="19">
        <v>0</v>
      </c>
      <c r="AC69" s="19">
        <v>0</v>
      </c>
      <c r="AD69" s="18">
        <f t="shared" si="45"/>
        <v>0</v>
      </c>
      <c r="AE69" s="19">
        <v>0</v>
      </c>
      <c r="AF69" s="19">
        <v>0</v>
      </c>
      <c r="AG69" s="19">
        <v>0</v>
      </c>
      <c r="AH69" s="19">
        <v>0</v>
      </c>
      <c r="AI69" s="18">
        <f t="shared" si="46"/>
        <v>0</v>
      </c>
      <c r="AJ69" s="19">
        <v>0</v>
      </c>
      <c r="AK69" s="19">
        <v>0</v>
      </c>
      <c r="AL69" s="19">
        <v>0</v>
      </c>
      <c r="AM69" s="19">
        <v>0</v>
      </c>
    </row>
    <row r="70" spans="1:39" s="2" customFormat="1" ht="60" hidden="1" outlineLevel="4" x14ac:dyDescent="0.25">
      <c r="A70" s="8" t="s">
        <v>890</v>
      </c>
      <c r="B70" s="126" t="s">
        <v>881</v>
      </c>
      <c r="C70" s="26" t="s">
        <v>32</v>
      </c>
      <c r="D70" s="26" t="s">
        <v>118</v>
      </c>
      <c r="E70" s="20">
        <f t="shared" si="39"/>
        <v>1000</v>
      </c>
      <c r="F70" s="38">
        <f t="shared" si="40"/>
        <v>0</v>
      </c>
      <c r="G70" s="38">
        <f t="shared" si="41"/>
        <v>0</v>
      </c>
      <c r="H70" s="38">
        <f t="shared" si="42"/>
        <v>1000</v>
      </c>
      <c r="I70" s="38">
        <f t="shared" si="43"/>
        <v>0</v>
      </c>
      <c r="J70" s="18">
        <f t="shared" si="44"/>
        <v>0</v>
      </c>
      <c r="K70" s="19">
        <v>0</v>
      </c>
      <c r="L70" s="19">
        <v>0</v>
      </c>
      <c r="M70" s="19">
        <v>0</v>
      </c>
      <c r="N70" s="19">
        <v>0</v>
      </c>
      <c r="O70" s="18"/>
      <c r="P70" s="19"/>
      <c r="Q70" s="19"/>
      <c r="R70" s="19"/>
      <c r="S70" s="19"/>
      <c r="T70" s="18">
        <f t="shared" si="47"/>
        <v>1000</v>
      </c>
      <c r="U70" s="19"/>
      <c r="V70" s="19">
        <v>0</v>
      </c>
      <c r="W70" s="19">
        <v>1000</v>
      </c>
      <c r="X70" s="19">
        <v>0</v>
      </c>
      <c r="Y70" s="18">
        <f t="shared" si="32"/>
        <v>0</v>
      </c>
      <c r="Z70" s="19"/>
      <c r="AA70" s="19">
        <v>0</v>
      </c>
      <c r="AB70" s="19">
        <v>0</v>
      </c>
      <c r="AC70" s="19">
        <v>0</v>
      </c>
      <c r="AD70" s="18">
        <f t="shared" si="45"/>
        <v>0</v>
      </c>
      <c r="AE70" s="19">
        <v>0</v>
      </c>
      <c r="AF70" s="19">
        <v>0</v>
      </c>
      <c r="AG70" s="19">
        <v>0</v>
      </c>
      <c r="AH70" s="19">
        <v>0</v>
      </c>
      <c r="AI70" s="18">
        <f t="shared" si="46"/>
        <v>0</v>
      </c>
      <c r="AJ70" s="19">
        <v>0</v>
      </c>
      <c r="AK70" s="19">
        <v>0</v>
      </c>
      <c r="AL70" s="19">
        <v>0</v>
      </c>
      <c r="AM70" s="19">
        <v>0</v>
      </c>
    </row>
    <row r="71" spans="1:39" s="2" customFormat="1" ht="94.5" hidden="1" outlineLevel="4" x14ac:dyDescent="0.25">
      <c r="A71" s="8" t="s">
        <v>891</v>
      </c>
      <c r="B71" s="120" t="s">
        <v>923</v>
      </c>
      <c r="C71" s="26" t="s">
        <v>32</v>
      </c>
      <c r="D71" s="26" t="s">
        <v>118</v>
      </c>
      <c r="E71" s="20">
        <f t="shared" ref="E71" si="48">H71</f>
        <v>450</v>
      </c>
      <c r="F71" s="38">
        <f t="shared" si="40"/>
        <v>0</v>
      </c>
      <c r="G71" s="38">
        <f t="shared" si="41"/>
        <v>0</v>
      </c>
      <c r="H71" s="38">
        <f t="shared" ref="H71" si="49">M71+R71+W71+AB71+AG71+AL71</f>
        <v>450</v>
      </c>
      <c r="I71" s="38">
        <f t="shared" si="43"/>
        <v>0</v>
      </c>
      <c r="J71" s="18">
        <f t="shared" si="44"/>
        <v>0</v>
      </c>
      <c r="K71" s="19">
        <v>0</v>
      </c>
      <c r="L71" s="19">
        <v>0</v>
      </c>
      <c r="M71" s="19">
        <v>0</v>
      </c>
      <c r="N71" s="19">
        <v>0</v>
      </c>
      <c r="O71" s="18"/>
      <c r="P71" s="19"/>
      <c r="Q71" s="19"/>
      <c r="R71" s="19"/>
      <c r="S71" s="19"/>
      <c r="T71" s="18">
        <f t="shared" ref="T71" si="50">W71</f>
        <v>450</v>
      </c>
      <c r="U71" s="19"/>
      <c r="V71" s="19">
        <v>0</v>
      </c>
      <c r="W71" s="19">
        <v>450</v>
      </c>
      <c r="X71" s="19">
        <v>0</v>
      </c>
      <c r="Y71" s="18">
        <f t="shared" si="32"/>
        <v>0</v>
      </c>
      <c r="Z71" s="19"/>
      <c r="AA71" s="19">
        <v>0</v>
      </c>
      <c r="AB71" s="19">
        <v>0</v>
      </c>
      <c r="AC71" s="19">
        <v>0</v>
      </c>
      <c r="AD71" s="18">
        <f t="shared" si="45"/>
        <v>0</v>
      </c>
      <c r="AE71" s="19">
        <v>0</v>
      </c>
      <c r="AF71" s="19">
        <v>0</v>
      </c>
      <c r="AG71" s="19">
        <v>0</v>
      </c>
      <c r="AH71" s="19">
        <v>0</v>
      </c>
      <c r="AI71" s="18">
        <f t="shared" si="46"/>
        <v>0</v>
      </c>
      <c r="AJ71" s="19">
        <v>0</v>
      </c>
      <c r="AK71" s="19">
        <v>0</v>
      </c>
      <c r="AL71" s="19">
        <v>0</v>
      </c>
      <c r="AM71" s="19">
        <v>0</v>
      </c>
    </row>
    <row r="72" spans="1:39" s="2" customFormat="1" ht="47.25" hidden="1" outlineLevel="4" x14ac:dyDescent="0.25">
      <c r="A72" s="8" t="s">
        <v>924</v>
      </c>
      <c r="B72" s="42" t="s">
        <v>926</v>
      </c>
      <c r="C72" s="26" t="s">
        <v>32</v>
      </c>
      <c r="D72" s="26" t="s">
        <v>118</v>
      </c>
      <c r="E72" s="20">
        <f t="shared" ref="E72" si="51">H72</f>
        <v>580.70000000000005</v>
      </c>
      <c r="F72" s="38">
        <f t="shared" si="40"/>
        <v>0</v>
      </c>
      <c r="G72" s="38">
        <f t="shared" si="41"/>
        <v>0</v>
      </c>
      <c r="H72" s="38">
        <f t="shared" ref="H72" si="52">M72+R72+W72+AB72+AG72+AL72</f>
        <v>580.70000000000005</v>
      </c>
      <c r="I72" s="38">
        <f t="shared" si="43"/>
        <v>0</v>
      </c>
      <c r="J72" s="18">
        <f t="shared" si="44"/>
        <v>0</v>
      </c>
      <c r="K72" s="19">
        <v>0</v>
      </c>
      <c r="L72" s="19">
        <v>0</v>
      </c>
      <c r="M72" s="19">
        <v>0</v>
      </c>
      <c r="N72" s="19">
        <v>0</v>
      </c>
      <c r="O72" s="18"/>
      <c r="P72" s="19"/>
      <c r="Q72" s="19"/>
      <c r="R72" s="19"/>
      <c r="S72" s="19"/>
      <c r="T72" s="18">
        <f t="shared" ref="T72" si="53">W72</f>
        <v>580.70000000000005</v>
      </c>
      <c r="U72" s="19"/>
      <c r="V72" s="19">
        <v>0</v>
      </c>
      <c r="W72" s="19">
        <v>580.70000000000005</v>
      </c>
      <c r="X72" s="19">
        <v>0</v>
      </c>
      <c r="Y72" s="18">
        <f t="shared" si="32"/>
        <v>0</v>
      </c>
      <c r="Z72" s="19"/>
      <c r="AA72" s="19">
        <v>0</v>
      </c>
      <c r="AB72" s="19">
        <v>0</v>
      </c>
      <c r="AC72" s="19">
        <v>0</v>
      </c>
      <c r="AD72" s="18">
        <f t="shared" si="45"/>
        <v>0</v>
      </c>
      <c r="AE72" s="19">
        <v>0</v>
      </c>
      <c r="AF72" s="19">
        <v>0</v>
      </c>
      <c r="AG72" s="19">
        <v>0</v>
      </c>
      <c r="AH72" s="19">
        <v>0</v>
      </c>
      <c r="AI72" s="18">
        <f t="shared" si="46"/>
        <v>0</v>
      </c>
      <c r="AJ72" s="19">
        <v>0</v>
      </c>
      <c r="AK72" s="19">
        <v>0</v>
      </c>
      <c r="AL72" s="19">
        <v>0</v>
      </c>
      <c r="AM72" s="19">
        <v>0</v>
      </c>
    </row>
    <row r="73" spans="1:39" s="2" customFormat="1" ht="60" hidden="1" outlineLevel="4" x14ac:dyDescent="0.25">
      <c r="A73" s="8" t="s">
        <v>927</v>
      </c>
      <c r="B73" s="122" t="s">
        <v>929</v>
      </c>
      <c r="C73" s="26" t="s">
        <v>32</v>
      </c>
      <c r="D73" s="26" t="s">
        <v>118</v>
      </c>
      <c r="E73" s="20">
        <f t="shared" ref="E73" si="54">H73</f>
        <v>3011.5</v>
      </c>
      <c r="F73" s="38">
        <f t="shared" si="40"/>
        <v>0</v>
      </c>
      <c r="G73" s="38">
        <f t="shared" si="41"/>
        <v>0</v>
      </c>
      <c r="H73" s="38">
        <f t="shared" ref="H73" si="55">M73+R73+W73+AB73+AG73+AL73</f>
        <v>3011.5</v>
      </c>
      <c r="I73" s="38">
        <f t="shared" si="43"/>
        <v>0</v>
      </c>
      <c r="J73" s="18">
        <f t="shared" si="44"/>
        <v>0</v>
      </c>
      <c r="K73" s="19">
        <v>0</v>
      </c>
      <c r="L73" s="19">
        <v>0</v>
      </c>
      <c r="M73" s="19">
        <v>0</v>
      </c>
      <c r="N73" s="19">
        <v>0</v>
      </c>
      <c r="O73" s="18"/>
      <c r="P73" s="19"/>
      <c r="Q73" s="19"/>
      <c r="R73" s="19"/>
      <c r="S73" s="19"/>
      <c r="T73" s="18">
        <f t="shared" ref="T73" si="56">W73</f>
        <v>3011.5</v>
      </c>
      <c r="U73" s="19"/>
      <c r="V73" s="19">
        <v>0</v>
      </c>
      <c r="W73" s="19">
        <v>3011.5</v>
      </c>
      <c r="X73" s="19">
        <v>0</v>
      </c>
      <c r="Y73" s="18">
        <f t="shared" si="32"/>
        <v>0</v>
      </c>
      <c r="Z73" s="19"/>
      <c r="AA73" s="19">
        <v>0</v>
      </c>
      <c r="AB73" s="19">
        <v>0</v>
      </c>
      <c r="AC73" s="19">
        <v>0</v>
      </c>
      <c r="AD73" s="18">
        <f t="shared" si="45"/>
        <v>0</v>
      </c>
      <c r="AE73" s="19">
        <v>0</v>
      </c>
      <c r="AF73" s="19">
        <v>0</v>
      </c>
      <c r="AG73" s="19">
        <v>0</v>
      </c>
      <c r="AH73" s="19">
        <v>0</v>
      </c>
      <c r="AI73" s="18">
        <f t="shared" si="46"/>
        <v>0</v>
      </c>
      <c r="AJ73" s="19">
        <v>0</v>
      </c>
      <c r="AK73" s="19">
        <v>0</v>
      </c>
      <c r="AL73" s="19">
        <v>0</v>
      </c>
      <c r="AM73" s="19">
        <v>0</v>
      </c>
    </row>
    <row r="74" spans="1:39" s="2" customFormat="1" ht="60" hidden="1" outlineLevel="4" x14ac:dyDescent="0.25">
      <c r="A74" s="8" t="s">
        <v>928</v>
      </c>
      <c r="B74" s="128" t="s">
        <v>975</v>
      </c>
      <c r="C74" s="26" t="s">
        <v>32</v>
      </c>
      <c r="D74" s="26" t="s">
        <v>118</v>
      </c>
      <c r="E74" s="20">
        <f t="shared" ref="E74" si="57">H74</f>
        <v>90.8</v>
      </c>
      <c r="F74" s="38">
        <f t="shared" si="40"/>
        <v>0</v>
      </c>
      <c r="G74" s="38">
        <f t="shared" si="41"/>
        <v>0</v>
      </c>
      <c r="H74" s="38">
        <f t="shared" ref="H74" si="58">M74+R74+W74+AB74+AG74+AL74</f>
        <v>90.8</v>
      </c>
      <c r="I74" s="38">
        <f t="shared" si="43"/>
        <v>0</v>
      </c>
      <c r="J74" s="18">
        <f t="shared" si="44"/>
        <v>0</v>
      </c>
      <c r="K74" s="19">
        <v>0</v>
      </c>
      <c r="L74" s="19">
        <v>0</v>
      </c>
      <c r="M74" s="19">
        <v>0</v>
      </c>
      <c r="N74" s="19">
        <v>0</v>
      </c>
      <c r="O74" s="18"/>
      <c r="P74" s="19"/>
      <c r="Q74" s="19"/>
      <c r="R74" s="19"/>
      <c r="S74" s="19"/>
      <c r="T74" s="18">
        <f t="shared" ref="T74" si="59">W74</f>
        <v>90.8</v>
      </c>
      <c r="U74" s="19"/>
      <c r="V74" s="19">
        <v>0</v>
      </c>
      <c r="W74" s="19">
        <v>90.8</v>
      </c>
      <c r="X74" s="19">
        <v>0</v>
      </c>
      <c r="Y74" s="18">
        <f t="shared" si="32"/>
        <v>0</v>
      </c>
      <c r="Z74" s="19"/>
      <c r="AA74" s="19">
        <v>0</v>
      </c>
      <c r="AB74" s="19">
        <v>0</v>
      </c>
      <c r="AC74" s="19">
        <v>0</v>
      </c>
      <c r="AD74" s="18">
        <f t="shared" si="45"/>
        <v>0</v>
      </c>
      <c r="AE74" s="19">
        <v>0</v>
      </c>
      <c r="AF74" s="19">
        <v>0</v>
      </c>
      <c r="AG74" s="19">
        <v>0</v>
      </c>
      <c r="AH74" s="19">
        <v>0</v>
      </c>
      <c r="AI74" s="18">
        <f t="shared" si="46"/>
        <v>0</v>
      </c>
      <c r="AJ74" s="19">
        <v>0</v>
      </c>
      <c r="AK74" s="19">
        <v>0</v>
      </c>
      <c r="AL74" s="19">
        <v>0</v>
      </c>
      <c r="AM74" s="19">
        <v>0</v>
      </c>
    </row>
    <row r="75" spans="1:39" s="2" customFormat="1" ht="75" hidden="1" customHeight="1" outlineLevel="4" x14ac:dyDescent="0.25">
      <c r="A75" s="8" t="s">
        <v>937</v>
      </c>
      <c r="B75" s="130" t="s">
        <v>938</v>
      </c>
      <c r="C75" s="26" t="s">
        <v>32</v>
      </c>
      <c r="D75" s="26" t="s">
        <v>118</v>
      </c>
      <c r="E75" s="20">
        <f t="shared" ref="E75" si="60">H75</f>
        <v>10</v>
      </c>
      <c r="F75" s="38">
        <f t="shared" si="40"/>
        <v>0</v>
      </c>
      <c r="G75" s="38">
        <f t="shared" si="41"/>
        <v>0</v>
      </c>
      <c r="H75" s="38">
        <f t="shared" ref="H75" si="61">M75+R75+W75+AB75+AG75+AL75</f>
        <v>10</v>
      </c>
      <c r="I75" s="38">
        <f t="shared" si="43"/>
        <v>0</v>
      </c>
      <c r="J75" s="18">
        <f t="shared" si="44"/>
        <v>0</v>
      </c>
      <c r="K75" s="19">
        <v>0</v>
      </c>
      <c r="L75" s="19">
        <v>0</v>
      </c>
      <c r="M75" s="19">
        <v>0</v>
      </c>
      <c r="N75" s="19">
        <v>0</v>
      </c>
      <c r="O75" s="18"/>
      <c r="P75" s="19"/>
      <c r="Q75" s="19"/>
      <c r="R75" s="19"/>
      <c r="S75" s="19"/>
      <c r="T75" s="18">
        <f t="shared" ref="T75" si="62">W75</f>
        <v>10</v>
      </c>
      <c r="U75" s="19"/>
      <c r="V75" s="19">
        <v>0</v>
      </c>
      <c r="W75" s="19">
        <v>10</v>
      </c>
      <c r="X75" s="19">
        <v>0</v>
      </c>
      <c r="Y75" s="18">
        <f t="shared" si="32"/>
        <v>0</v>
      </c>
      <c r="Z75" s="19"/>
      <c r="AA75" s="19">
        <v>0</v>
      </c>
      <c r="AB75" s="19">
        <v>0</v>
      </c>
      <c r="AC75" s="19">
        <v>0</v>
      </c>
      <c r="AD75" s="18">
        <f t="shared" ref="AD75" si="63">SUM(AE75:AH75)</f>
        <v>0</v>
      </c>
      <c r="AE75" s="19">
        <v>0</v>
      </c>
      <c r="AF75" s="19">
        <v>0</v>
      </c>
      <c r="AG75" s="19">
        <v>0</v>
      </c>
      <c r="AH75" s="19">
        <v>0</v>
      </c>
      <c r="AI75" s="18">
        <f t="shared" ref="AI75" si="64">SUM(AJ75:AM75)</f>
        <v>0</v>
      </c>
      <c r="AJ75" s="19">
        <v>0</v>
      </c>
      <c r="AK75" s="19">
        <v>0</v>
      </c>
      <c r="AL75" s="19">
        <v>0</v>
      </c>
      <c r="AM75" s="19">
        <v>0</v>
      </c>
    </row>
    <row r="76" spans="1:39" s="2" customFormat="1" ht="75" hidden="1" customHeight="1" outlineLevel="4" x14ac:dyDescent="0.25">
      <c r="A76" s="8" t="s">
        <v>940</v>
      </c>
      <c r="B76" s="130" t="s">
        <v>996</v>
      </c>
      <c r="C76" s="26" t="s">
        <v>32</v>
      </c>
      <c r="D76" s="26" t="s">
        <v>118</v>
      </c>
      <c r="E76" s="20">
        <f t="shared" ref="E76" si="65">H76</f>
        <v>541.79999999999995</v>
      </c>
      <c r="F76" s="38">
        <f t="shared" si="40"/>
        <v>0</v>
      </c>
      <c r="G76" s="38">
        <f t="shared" si="41"/>
        <v>0</v>
      </c>
      <c r="H76" s="38">
        <f t="shared" ref="H76" si="66">M76+R76+W76+AB76+AG76+AL76</f>
        <v>541.79999999999995</v>
      </c>
      <c r="I76" s="38">
        <f t="shared" si="43"/>
        <v>0</v>
      </c>
      <c r="J76" s="18">
        <f t="shared" si="44"/>
        <v>0</v>
      </c>
      <c r="K76" s="19">
        <v>0</v>
      </c>
      <c r="L76" s="19">
        <v>0</v>
      </c>
      <c r="M76" s="19">
        <v>0</v>
      </c>
      <c r="N76" s="19">
        <v>0</v>
      </c>
      <c r="O76" s="18"/>
      <c r="P76" s="19"/>
      <c r="Q76" s="19"/>
      <c r="R76" s="19"/>
      <c r="S76" s="19"/>
      <c r="T76" s="18">
        <f t="shared" ref="T76" si="67">W76</f>
        <v>541.79999999999995</v>
      </c>
      <c r="U76" s="19"/>
      <c r="V76" s="19">
        <v>0</v>
      </c>
      <c r="W76" s="19">
        <v>541.79999999999995</v>
      </c>
      <c r="X76" s="19">
        <v>0</v>
      </c>
      <c r="Y76" s="18">
        <f t="shared" ref="Y76" si="68">SUM(Z76:AC76)</f>
        <v>0</v>
      </c>
      <c r="Z76" s="19"/>
      <c r="AA76" s="19">
        <v>0</v>
      </c>
      <c r="AB76" s="19">
        <v>0</v>
      </c>
      <c r="AC76" s="19">
        <v>0</v>
      </c>
      <c r="AD76" s="18">
        <f t="shared" ref="AD76" si="69">SUM(AE76:AH76)</f>
        <v>0</v>
      </c>
      <c r="AE76" s="19">
        <v>0</v>
      </c>
      <c r="AF76" s="19">
        <v>0</v>
      </c>
      <c r="AG76" s="19">
        <v>0</v>
      </c>
      <c r="AH76" s="19">
        <v>0</v>
      </c>
      <c r="AI76" s="18">
        <f t="shared" ref="AI76" si="70">SUM(AJ76:AM76)</f>
        <v>0</v>
      </c>
      <c r="AJ76" s="19">
        <v>0</v>
      </c>
      <c r="AK76" s="19">
        <v>0</v>
      </c>
      <c r="AL76" s="19">
        <v>0</v>
      </c>
      <c r="AM76" s="19">
        <v>0</v>
      </c>
    </row>
    <row r="77" spans="1:39" s="2" customFormat="1" ht="31.5" hidden="1" outlineLevel="4" x14ac:dyDescent="0.25">
      <c r="A77" s="8" t="s">
        <v>970</v>
      </c>
      <c r="B77" s="43" t="s">
        <v>290</v>
      </c>
      <c r="C77" s="26" t="s">
        <v>32</v>
      </c>
      <c r="D77" s="26" t="s">
        <v>118</v>
      </c>
      <c r="E77" s="20">
        <f>SUM(F77:I77)</f>
        <v>12001.499999999998</v>
      </c>
      <c r="F77" s="20">
        <f>K77</f>
        <v>0</v>
      </c>
      <c r="G77" s="38">
        <f>L77+Q77+V77+AA77+AF77+AK77</f>
        <v>0</v>
      </c>
      <c r="H77" s="38">
        <f>M77+R77+W77+AB77+AG77+AL77</f>
        <v>12001.499999999998</v>
      </c>
      <c r="I77" s="38">
        <f>N77+S77+X77+AC77+AH77+AM77</f>
        <v>0</v>
      </c>
      <c r="J77" s="18">
        <f>SUM(K77:N77)</f>
        <v>0</v>
      </c>
      <c r="K77" s="19">
        <v>0</v>
      </c>
      <c r="L77" s="19">
        <v>0</v>
      </c>
      <c r="M77" s="19">
        <v>0</v>
      </c>
      <c r="N77" s="19">
        <v>0</v>
      </c>
      <c r="O77" s="18">
        <f>SUM(P77:S77)</f>
        <v>12001.499999999998</v>
      </c>
      <c r="P77" s="19">
        <v>0</v>
      </c>
      <c r="Q77" s="19">
        <v>0</v>
      </c>
      <c r="R77" s="19">
        <f>25926.6-1837-11252.8-88.7-122.6-408.3-215.7</f>
        <v>12001.499999999998</v>
      </c>
      <c r="S77" s="19">
        <v>0</v>
      </c>
      <c r="T77" s="18">
        <f>SUM(U77:X77)</f>
        <v>0</v>
      </c>
      <c r="U77" s="19">
        <v>0</v>
      </c>
      <c r="V77" s="19">
        <v>0</v>
      </c>
      <c r="W77" s="19">
        <f>26963.6-4745.6-3812.7-3146.3-4180-11079</f>
        <v>0</v>
      </c>
      <c r="X77" s="19">
        <v>0</v>
      </c>
      <c r="Y77" s="18">
        <f>SUM(Z77:AC77)</f>
        <v>0</v>
      </c>
      <c r="Z77" s="19">
        <v>0</v>
      </c>
      <c r="AA77" s="19">
        <v>0</v>
      </c>
      <c r="AB77" s="19">
        <v>0</v>
      </c>
      <c r="AC77" s="19">
        <v>0</v>
      </c>
      <c r="AD77" s="18">
        <f>SUM(AE77:AH77)</f>
        <v>0</v>
      </c>
      <c r="AE77" s="19">
        <v>0</v>
      </c>
      <c r="AF77" s="19">
        <v>0</v>
      </c>
      <c r="AG77" s="19">
        <v>0</v>
      </c>
      <c r="AH77" s="19">
        <v>0</v>
      </c>
      <c r="AI77" s="18">
        <f>SUM(AJ77:AM77)</f>
        <v>0</v>
      </c>
      <c r="AJ77" s="19">
        <v>0</v>
      </c>
      <c r="AK77" s="19">
        <v>0</v>
      </c>
      <c r="AL77" s="19">
        <v>0</v>
      </c>
      <c r="AM77" s="19">
        <v>0</v>
      </c>
    </row>
    <row r="78" spans="1:39" s="2" customFormat="1" ht="33.75" hidden="1" customHeight="1" outlineLevel="3" x14ac:dyDescent="0.25">
      <c r="A78" s="165" t="s">
        <v>281</v>
      </c>
      <c r="B78" s="205" t="s">
        <v>280</v>
      </c>
      <c r="C78" s="205"/>
      <c r="D78" s="194"/>
      <c r="E78" s="20">
        <f>SUM(E79:E89)</f>
        <v>2560.1999999999998</v>
      </c>
      <c r="F78" s="20">
        <f t="shared" ref="F78:AM78" si="71">SUM(F79:F89)</f>
        <v>0</v>
      </c>
      <c r="G78" s="20">
        <f t="shared" si="71"/>
        <v>0</v>
      </c>
      <c r="H78" s="20">
        <f t="shared" si="71"/>
        <v>2560.1999999999998</v>
      </c>
      <c r="I78" s="20">
        <f t="shared" si="71"/>
        <v>0</v>
      </c>
      <c r="J78" s="20">
        <f t="shared" si="71"/>
        <v>729.1</v>
      </c>
      <c r="K78" s="20">
        <f t="shared" si="71"/>
        <v>0</v>
      </c>
      <c r="L78" s="20">
        <f t="shared" si="71"/>
        <v>0</v>
      </c>
      <c r="M78" s="20">
        <f t="shared" si="71"/>
        <v>729.1</v>
      </c>
      <c r="N78" s="20">
        <f t="shared" si="71"/>
        <v>0</v>
      </c>
      <c r="O78" s="20">
        <f t="shared" si="71"/>
        <v>728.5</v>
      </c>
      <c r="P78" s="20">
        <f t="shared" si="71"/>
        <v>0</v>
      </c>
      <c r="Q78" s="20">
        <f t="shared" si="71"/>
        <v>0</v>
      </c>
      <c r="R78" s="20">
        <f t="shared" si="71"/>
        <v>728.5</v>
      </c>
      <c r="S78" s="20">
        <f t="shared" si="71"/>
        <v>0</v>
      </c>
      <c r="T78" s="20">
        <f t="shared" si="71"/>
        <v>1102.5999999999999</v>
      </c>
      <c r="U78" s="20">
        <f t="shared" si="71"/>
        <v>0</v>
      </c>
      <c r="V78" s="20">
        <f t="shared" si="71"/>
        <v>0</v>
      </c>
      <c r="W78" s="20">
        <f t="shared" si="71"/>
        <v>1102.5999999999999</v>
      </c>
      <c r="X78" s="20">
        <f t="shared" si="71"/>
        <v>0</v>
      </c>
      <c r="Y78" s="20">
        <f t="shared" si="71"/>
        <v>0</v>
      </c>
      <c r="Z78" s="20">
        <f t="shared" si="71"/>
        <v>0</v>
      </c>
      <c r="AA78" s="20">
        <f t="shared" si="71"/>
        <v>0</v>
      </c>
      <c r="AB78" s="20">
        <f t="shared" si="71"/>
        <v>0</v>
      </c>
      <c r="AC78" s="20">
        <f t="shared" si="71"/>
        <v>0</v>
      </c>
      <c r="AD78" s="20">
        <f t="shared" si="71"/>
        <v>0</v>
      </c>
      <c r="AE78" s="20">
        <f t="shared" si="71"/>
        <v>0</v>
      </c>
      <c r="AF78" s="20">
        <f t="shared" si="71"/>
        <v>0</v>
      </c>
      <c r="AG78" s="20">
        <f t="shared" si="71"/>
        <v>0</v>
      </c>
      <c r="AH78" s="20">
        <f t="shared" si="71"/>
        <v>0</v>
      </c>
      <c r="AI78" s="20">
        <f t="shared" si="71"/>
        <v>0</v>
      </c>
      <c r="AJ78" s="20">
        <f t="shared" si="71"/>
        <v>0</v>
      </c>
      <c r="AK78" s="20">
        <f t="shared" si="71"/>
        <v>0</v>
      </c>
      <c r="AL78" s="20">
        <f t="shared" si="71"/>
        <v>0</v>
      </c>
      <c r="AM78" s="20">
        <f t="shared" si="71"/>
        <v>0</v>
      </c>
    </row>
    <row r="79" spans="1:39" s="2" customFormat="1" ht="78.75" hidden="1" outlineLevel="4" x14ac:dyDescent="0.25">
      <c r="A79" s="8" t="s">
        <v>282</v>
      </c>
      <c r="B79" s="25" t="s">
        <v>283</v>
      </c>
      <c r="C79" s="26" t="s">
        <v>376</v>
      </c>
      <c r="D79" s="26" t="s">
        <v>118</v>
      </c>
      <c r="E79" s="20">
        <f t="shared" ref="E79:E84" si="72">SUM(F79:I79)</f>
        <v>562.70000000000005</v>
      </c>
      <c r="F79" s="20">
        <f t="shared" ref="F79:F84" si="73">K79</f>
        <v>0</v>
      </c>
      <c r="G79" s="38">
        <f t="shared" ref="G79:I82" si="74">L79+Q79+V79+AA79+AF79+AK79</f>
        <v>0</v>
      </c>
      <c r="H79" s="38">
        <f t="shared" si="74"/>
        <v>562.70000000000005</v>
      </c>
      <c r="I79" s="38">
        <f t="shared" si="74"/>
        <v>0</v>
      </c>
      <c r="J79" s="18">
        <f>SUM(K79:N79)</f>
        <v>562.70000000000005</v>
      </c>
      <c r="K79" s="19">
        <v>0</v>
      </c>
      <c r="L79" s="19">
        <v>0</v>
      </c>
      <c r="M79" s="19">
        <f>565.5-2.8</f>
        <v>562.70000000000005</v>
      </c>
      <c r="N79" s="19">
        <v>0</v>
      </c>
      <c r="O79" s="18">
        <f>SUM(P79:S79)</f>
        <v>0</v>
      </c>
      <c r="P79" s="19">
        <v>0</v>
      </c>
      <c r="Q79" s="19">
        <v>0</v>
      </c>
      <c r="R79" s="19">
        <v>0</v>
      </c>
      <c r="S79" s="19">
        <v>0</v>
      </c>
      <c r="T79" s="18">
        <f>SUM(U79:X79)</f>
        <v>0</v>
      </c>
      <c r="U79" s="19">
        <v>0</v>
      </c>
      <c r="V79" s="19">
        <v>0</v>
      </c>
      <c r="W79" s="19">
        <v>0</v>
      </c>
      <c r="X79" s="19">
        <v>0</v>
      </c>
      <c r="Y79" s="18">
        <f>SUM(Z79:AC79)</f>
        <v>0</v>
      </c>
      <c r="Z79" s="19">
        <v>0</v>
      </c>
      <c r="AA79" s="19">
        <v>0</v>
      </c>
      <c r="AB79" s="19">
        <v>0</v>
      </c>
      <c r="AC79" s="19">
        <v>0</v>
      </c>
      <c r="AD79" s="18">
        <f>SUM(AE79:AH79)</f>
        <v>0</v>
      </c>
      <c r="AE79" s="19">
        <v>0</v>
      </c>
      <c r="AF79" s="19">
        <v>0</v>
      </c>
      <c r="AG79" s="19">
        <v>0</v>
      </c>
      <c r="AH79" s="19">
        <v>0</v>
      </c>
      <c r="AI79" s="18">
        <f>SUM(AJ79:AM79)</f>
        <v>0</v>
      </c>
      <c r="AJ79" s="19">
        <v>0</v>
      </c>
      <c r="AK79" s="19">
        <v>0</v>
      </c>
      <c r="AL79" s="19">
        <v>0</v>
      </c>
      <c r="AM79" s="19">
        <v>0</v>
      </c>
    </row>
    <row r="80" spans="1:39" s="2" customFormat="1" ht="78.75" hidden="1" outlineLevel="4" x14ac:dyDescent="0.25">
      <c r="A80" s="8" t="s">
        <v>336</v>
      </c>
      <c r="B80" s="24" t="s">
        <v>335</v>
      </c>
      <c r="C80" s="26" t="s">
        <v>376</v>
      </c>
      <c r="D80" s="26" t="s">
        <v>118</v>
      </c>
      <c r="E80" s="20">
        <f t="shared" si="72"/>
        <v>166.4</v>
      </c>
      <c r="F80" s="20">
        <f t="shared" si="73"/>
        <v>0</v>
      </c>
      <c r="G80" s="38">
        <f t="shared" si="74"/>
        <v>0</v>
      </c>
      <c r="H80" s="38">
        <f t="shared" si="74"/>
        <v>166.4</v>
      </c>
      <c r="I80" s="38">
        <f t="shared" si="74"/>
        <v>0</v>
      </c>
      <c r="J80" s="18">
        <f>M80</f>
        <v>166.4</v>
      </c>
      <c r="K80" s="19">
        <v>0</v>
      </c>
      <c r="L80" s="19">
        <v>0</v>
      </c>
      <c r="M80" s="19">
        <v>166.4</v>
      </c>
      <c r="N80" s="19">
        <v>0</v>
      </c>
      <c r="O80" s="18">
        <f>SUM(P80:S80)</f>
        <v>0</v>
      </c>
      <c r="P80" s="19">
        <v>0</v>
      </c>
      <c r="Q80" s="19">
        <v>0</v>
      </c>
      <c r="R80" s="19">
        <v>0</v>
      </c>
      <c r="S80" s="19">
        <v>0</v>
      </c>
      <c r="T80" s="18">
        <f>SUM(U80:X80)</f>
        <v>0</v>
      </c>
      <c r="U80" s="19">
        <v>0</v>
      </c>
      <c r="V80" s="19">
        <v>0</v>
      </c>
      <c r="W80" s="19">
        <v>0</v>
      </c>
      <c r="X80" s="19">
        <v>0</v>
      </c>
      <c r="Y80" s="18">
        <f>SUM(Z80:AC80)</f>
        <v>0</v>
      </c>
      <c r="Z80" s="19">
        <v>0</v>
      </c>
      <c r="AA80" s="19">
        <v>0</v>
      </c>
      <c r="AB80" s="19">
        <v>0</v>
      </c>
      <c r="AC80" s="19">
        <v>0</v>
      </c>
      <c r="AD80" s="18">
        <f>SUM(AE80:AH80)</f>
        <v>0</v>
      </c>
      <c r="AE80" s="19">
        <v>0</v>
      </c>
      <c r="AF80" s="19">
        <v>0</v>
      </c>
      <c r="AG80" s="19">
        <v>0</v>
      </c>
      <c r="AH80" s="19">
        <v>0</v>
      </c>
      <c r="AI80" s="18">
        <f>SUM(AJ80:AM80)</f>
        <v>0</v>
      </c>
      <c r="AJ80" s="19">
        <v>0</v>
      </c>
      <c r="AK80" s="19">
        <v>0</v>
      </c>
      <c r="AL80" s="19">
        <v>0</v>
      </c>
      <c r="AM80" s="19">
        <v>0</v>
      </c>
    </row>
    <row r="81" spans="1:39" s="2" customFormat="1" ht="94.5" hidden="1" outlineLevel="4" x14ac:dyDescent="0.25">
      <c r="A81" s="8" t="s">
        <v>479</v>
      </c>
      <c r="B81" s="24" t="s">
        <v>480</v>
      </c>
      <c r="C81" s="26" t="s">
        <v>32</v>
      </c>
      <c r="D81" s="26" t="s">
        <v>118</v>
      </c>
      <c r="E81" s="20">
        <f t="shared" si="72"/>
        <v>548</v>
      </c>
      <c r="F81" s="20">
        <f t="shared" si="73"/>
        <v>0</v>
      </c>
      <c r="G81" s="38">
        <f t="shared" si="74"/>
        <v>0</v>
      </c>
      <c r="H81" s="38">
        <f t="shared" si="74"/>
        <v>548</v>
      </c>
      <c r="I81" s="38">
        <f t="shared" si="74"/>
        <v>0</v>
      </c>
      <c r="J81" s="18">
        <f>M81</f>
        <v>0</v>
      </c>
      <c r="K81" s="19">
        <v>0</v>
      </c>
      <c r="L81" s="19">
        <v>0</v>
      </c>
      <c r="M81" s="19">
        <v>0</v>
      </c>
      <c r="N81" s="19">
        <v>0</v>
      </c>
      <c r="O81" s="18">
        <f>SUM(P81:S81)</f>
        <v>548</v>
      </c>
      <c r="P81" s="19">
        <v>0</v>
      </c>
      <c r="Q81" s="19">
        <v>0</v>
      </c>
      <c r="R81" s="19">
        <f>932.4-384.4</f>
        <v>548</v>
      </c>
      <c r="S81" s="19">
        <v>0</v>
      </c>
      <c r="T81" s="18">
        <f>SUM(U81:X81)</f>
        <v>0</v>
      </c>
      <c r="U81" s="19">
        <v>0</v>
      </c>
      <c r="V81" s="19">
        <v>0</v>
      </c>
      <c r="W81" s="19">
        <v>0</v>
      </c>
      <c r="X81" s="19">
        <v>0</v>
      </c>
      <c r="Y81" s="18">
        <f>SUM(Z81:AC81)</f>
        <v>0</v>
      </c>
      <c r="Z81" s="19">
        <v>0</v>
      </c>
      <c r="AA81" s="19">
        <v>0</v>
      </c>
      <c r="AB81" s="19">
        <v>0</v>
      </c>
      <c r="AC81" s="19">
        <v>0</v>
      </c>
      <c r="AD81" s="18">
        <f>SUM(AE81:AH81)</f>
        <v>0</v>
      </c>
      <c r="AE81" s="19">
        <v>0</v>
      </c>
      <c r="AF81" s="19">
        <v>0</v>
      </c>
      <c r="AG81" s="19">
        <v>0</v>
      </c>
      <c r="AH81" s="19">
        <v>0</v>
      </c>
      <c r="AI81" s="18">
        <f>SUM(AJ81:AM81)</f>
        <v>0</v>
      </c>
      <c r="AJ81" s="19">
        <v>0</v>
      </c>
      <c r="AK81" s="19">
        <v>0</v>
      </c>
      <c r="AL81" s="19">
        <v>0</v>
      </c>
      <c r="AM81" s="19">
        <v>0</v>
      </c>
    </row>
    <row r="82" spans="1:39" s="2" customFormat="1" ht="31.5" hidden="1" outlineLevel="4" x14ac:dyDescent="0.25">
      <c r="A82" s="8" t="s">
        <v>483</v>
      </c>
      <c r="B82" s="24" t="s">
        <v>484</v>
      </c>
      <c r="C82" s="26" t="s">
        <v>32</v>
      </c>
      <c r="D82" s="26" t="s">
        <v>118</v>
      </c>
      <c r="E82" s="20">
        <f t="shared" si="72"/>
        <v>180.5</v>
      </c>
      <c r="F82" s="20">
        <f t="shared" si="73"/>
        <v>0</v>
      </c>
      <c r="G82" s="38">
        <f t="shared" si="74"/>
        <v>0</v>
      </c>
      <c r="H82" s="38">
        <f t="shared" si="74"/>
        <v>180.5</v>
      </c>
      <c r="I82" s="38">
        <f t="shared" si="74"/>
        <v>0</v>
      </c>
      <c r="J82" s="18">
        <f>M82</f>
        <v>0</v>
      </c>
      <c r="K82" s="19">
        <v>0</v>
      </c>
      <c r="L82" s="19">
        <v>0</v>
      </c>
      <c r="M82" s="19">
        <v>0</v>
      </c>
      <c r="N82" s="19">
        <v>0</v>
      </c>
      <c r="O82" s="18">
        <f>SUM(P82:S82)</f>
        <v>180.5</v>
      </c>
      <c r="P82" s="19">
        <v>0</v>
      </c>
      <c r="Q82" s="19">
        <v>0</v>
      </c>
      <c r="R82" s="19">
        <v>180.5</v>
      </c>
      <c r="S82" s="19">
        <v>0</v>
      </c>
      <c r="T82" s="18">
        <f>SUM(U82:X82)</f>
        <v>0</v>
      </c>
      <c r="U82" s="19">
        <v>0</v>
      </c>
      <c r="V82" s="19">
        <v>0</v>
      </c>
      <c r="W82" s="19">
        <v>0</v>
      </c>
      <c r="X82" s="19">
        <v>0</v>
      </c>
      <c r="Y82" s="18">
        <f>SUM(Z82:AC82)</f>
        <v>0</v>
      </c>
      <c r="Z82" s="19">
        <v>0</v>
      </c>
      <c r="AA82" s="19">
        <v>0</v>
      </c>
      <c r="AB82" s="19">
        <v>0</v>
      </c>
      <c r="AC82" s="19">
        <v>0</v>
      </c>
      <c r="AD82" s="18">
        <f>SUM(AE82:AH82)</f>
        <v>0</v>
      </c>
      <c r="AE82" s="19">
        <v>0</v>
      </c>
      <c r="AF82" s="19">
        <v>0</v>
      </c>
      <c r="AG82" s="19">
        <v>0</v>
      </c>
      <c r="AH82" s="19">
        <v>0</v>
      </c>
      <c r="AI82" s="18">
        <f>SUM(AJ82:AM82)</f>
        <v>0</v>
      </c>
      <c r="AJ82" s="19">
        <v>0</v>
      </c>
      <c r="AK82" s="19">
        <v>0</v>
      </c>
      <c r="AL82" s="19">
        <v>0</v>
      </c>
      <c r="AM82" s="19">
        <v>0</v>
      </c>
    </row>
    <row r="83" spans="1:39" s="2" customFormat="1" ht="51.75" hidden="1" customHeight="1" outlineLevel="4" x14ac:dyDescent="0.25">
      <c r="A83" s="8" t="s">
        <v>824</v>
      </c>
      <c r="B83" s="24" t="s">
        <v>825</v>
      </c>
      <c r="C83" s="26" t="s">
        <v>32</v>
      </c>
      <c r="D83" s="26" t="s">
        <v>118</v>
      </c>
      <c r="E83" s="20">
        <f t="shared" si="72"/>
        <v>224.2</v>
      </c>
      <c r="F83" s="20">
        <f t="shared" si="73"/>
        <v>0</v>
      </c>
      <c r="G83" s="38">
        <f t="shared" ref="G83:H89" si="75">L83+Q83+V83+AA83+AF83+AK83</f>
        <v>0</v>
      </c>
      <c r="H83" s="38">
        <f t="shared" si="75"/>
        <v>224.2</v>
      </c>
      <c r="I83" s="38">
        <v>0</v>
      </c>
      <c r="J83" s="18">
        <f>M83</f>
        <v>0</v>
      </c>
      <c r="K83" s="19"/>
      <c r="L83" s="19">
        <v>0</v>
      </c>
      <c r="M83" s="19">
        <v>0</v>
      </c>
      <c r="N83" s="19">
        <v>0</v>
      </c>
      <c r="O83" s="18">
        <f>SUM(P83:S83)</f>
        <v>0</v>
      </c>
      <c r="P83" s="19"/>
      <c r="Q83" s="19">
        <v>0</v>
      </c>
      <c r="R83" s="19">
        <v>0</v>
      </c>
      <c r="S83" s="19">
        <v>0</v>
      </c>
      <c r="T83" s="18">
        <f t="shared" ref="T83:T89" si="76">W83</f>
        <v>224.2</v>
      </c>
      <c r="U83" s="19"/>
      <c r="V83" s="19">
        <v>0</v>
      </c>
      <c r="W83" s="19">
        <v>224.2</v>
      </c>
      <c r="X83" s="19">
        <v>0</v>
      </c>
      <c r="Y83" s="18">
        <f>SUM(Z83:AC83)</f>
        <v>0</v>
      </c>
      <c r="Z83" s="19">
        <v>0</v>
      </c>
      <c r="AA83" s="19">
        <v>0</v>
      </c>
      <c r="AB83" s="19">
        <v>0</v>
      </c>
      <c r="AC83" s="19">
        <v>0</v>
      </c>
      <c r="AD83" s="18">
        <f>SUM(AE83:AH83)</f>
        <v>0</v>
      </c>
      <c r="AE83" s="19">
        <v>0</v>
      </c>
      <c r="AF83" s="19">
        <v>0</v>
      </c>
      <c r="AG83" s="19">
        <v>0</v>
      </c>
      <c r="AH83" s="19">
        <v>0</v>
      </c>
      <c r="AI83" s="18">
        <f>SUM(AJ83:AM83)</f>
        <v>0</v>
      </c>
      <c r="AJ83" s="19">
        <v>0</v>
      </c>
      <c r="AK83" s="19">
        <v>0</v>
      </c>
      <c r="AL83" s="19">
        <v>0</v>
      </c>
      <c r="AM83" s="19">
        <v>0</v>
      </c>
    </row>
    <row r="84" spans="1:39" s="2" customFormat="1" ht="51.75" hidden="1" customHeight="1" outlineLevel="4" x14ac:dyDescent="0.25">
      <c r="A84" s="8" t="s">
        <v>892</v>
      </c>
      <c r="B84" s="24" t="s">
        <v>893</v>
      </c>
      <c r="C84" s="26" t="s">
        <v>32</v>
      </c>
      <c r="D84" s="26" t="s">
        <v>118</v>
      </c>
      <c r="E84" s="20">
        <f t="shared" si="72"/>
        <v>160</v>
      </c>
      <c r="F84" s="20">
        <f t="shared" si="73"/>
        <v>0</v>
      </c>
      <c r="G84" s="38">
        <f t="shared" si="75"/>
        <v>0</v>
      </c>
      <c r="H84" s="38">
        <f t="shared" si="75"/>
        <v>160</v>
      </c>
      <c r="I84" s="38"/>
      <c r="J84" s="18"/>
      <c r="K84" s="19"/>
      <c r="L84" s="19"/>
      <c r="M84" s="19"/>
      <c r="N84" s="19"/>
      <c r="O84" s="18"/>
      <c r="P84" s="19"/>
      <c r="Q84" s="19"/>
      <c r="R84" s="19"/>
      <c r="S84" s="19"/>
      <c r="T84" s="18">
        <f t="shared" si="76"/>
        <v>160</v>
      </c>
      <c r="U84" s="19"/>
      <c r="V84" s="19"/>
      <c r="W84" s="19">
        <v>160</v>
      </c>
      <c r="X84" s="19"/>
      <c r="Y84" s="18"/>
      <c r="Z84" s="19"/>
      <c r="AA84" s="19"/>
      <c r="AB84" s="19"/>
      <c r="AC84" s="19"/>
      <c r="AD84" s="18"/>
      <c r="AE84" s="19"/>
      <c r="AF84" s="19"/>
      <c r="AG84" s="19"/>
      <c r="AH84" s="19"/>
      <c r="AI84" s="18"/>
      <c r="AJ84" s="19"/>
      <c r="AK84" s="19"/>
      <c r="AL84" s="19"/>
      <c r="AM84" s="19"/>
    </row>
    <row r="85" spans="1:39" s="2" customFormat="1" ht="51.75" hidden="1" customHeight="1" outlineLevel="4" x14ac:dyDescent="0.25">
      <c r="A85" s="8" t="s">
        <v>919</v>
      </c>
      <c r="B85" s="129" t="s">
        <v>920</v>
      </c>
      <c r="C85" s="26" t="s">
        <v>32</v>
      </c>
      <c r="D85" s="26" t="s">
        <v>118</v>
      </c>
      <c r="E85" s="20">
        <f t="shared" ref="E85" si="77">SUM(F85:I85)</f>
        <v>92.9</v>
      </c>
      <c r="F85" s="20">
        <f t="shared" ref="F85" si="78">K85</f>
        <v>0</v>
      </c>
      <c r="G85" s="38">
        <f t="shared" si="75"/>
        <v>0</v>
      </c>
      <c r="H85" s="38">
        <f t="shared" si="75"/>
        <v>92.9</v>
      </c>
      <c r="I85" s="38"/>
      <c r="J85" s="18"/>
      <c r="K85" s="19"/>
      <c r="L85" s="19"/>
      <c r="M85" s="19"/>
      <c r="N85" s="19"/>
      <c r="O85" s="18"/>
      <c r="P85" s="19"/>
      <c r="Q85" s="19"/>
      <c r="R85" s="19"/>
      <c r="S85" s="19"/>
      <c r="T85" s="18">
        <f t="shared" si="76"/>
        <v>92.9</v>
      </c>
      <c r="U85" s="19"/>
      <c r="V85" s="19"/>
      <c r="W85" s="19">
        <v>92.9</v>
      </c>
      <c r="X85" s="19"/>
      <c r="Y85" s="18"/>
      <c r="Z85" s="19"/>
      <c r="AA85" s="19"/>
      <c r="AB85" s="19"/>
      <c r="AC85" s="19"/>
      <c r="AD85" s="18"/>
      <c r="AE85" s="19"/>
      <c r="AF85" s="19"/>
      <c r="AG85" s="19"/>
      <c r="AH85" s="19"/>
      <c r="AI85" s="18"/>
      <c r="AJ85" s="19"/>
      <c r="AK85" s="19"/>
      <c r="AL85" s="19"/>
      <c r="AM85" s="19"/>
    </row>
    <row r="86" spans="1:39" s="2" customFormat="1" ht="51.75" hidden="1" customHeight="1" outlineLevel="4" x14ac:dyDescent="0.25">
      <c r="A86" s="8" t="s">
        <v>922</v>
      </c>
      <c r="B86" s="130" t="s">
        <v>921</v>
      </c>
      <c r="C86" s="26" t="s">
        <v>32</v>
      </c>
      <c r="D86" s="26" t="s">
        <v>118</v>
      </c>
      <c r="E86" s="20">
        <f t="shared" ref="E86" si="79">SUM(F86:I86)</f>
        <v>509.9</v>
      </c>
      <c r="F86" s="20">
        <f t="shared" ref="F86" si="80">K86</f>
        <v>0</v>
      </c>
      <c r="G86" s="38">
        <f t="shared" si="75"/>
        <v>0</v>
      </c>
      <c r="H86" s="38">
        <f t="shared" si="75"/>
        <v>509.9</v>
      </c>
      <c r="I86" s="38"/>
      <c r="J86" s="18"/>
      <c r="K86" s="19"/>
      <c r="L86" s="19"/>
      <c r="M86" s="19"/>
      <c r="N86" s="19"/>
      <c r="O86" s="18"/>
      <c r="P86" s="19"/>
      <c r="Q86" s="19"/>
      <c r="R86" s="19"/>
      <c r="S86" s="19"/>
      <c r="T86" s="18">
        <f t="shared" si="76"/>
        <v>509.9</v>
      </c>
      <c r="U86" s="19"/>
      <c r="V86" s="19"/>
      <c r="W86" s="19">
        <v>509.9</v>
      </c>
      <c r="X86" s="19"/>
      <c r="Y86" s="18"/>
      <c r="Z86" s="19"/>
      <c r="AA86" s="19"/>
      <c r="AB86" s="19"/>
      <c r="AC86" s="19"/>
      <c r="AD86" s="18"/>
      <c r="AE86" s="19"/>
      <c r="AF86" s="19"/>
      <c r="AG86" s="19"/>
      <c r="AH86" s="19"/>
      <c r="AI86" s="18"/>
      <c r="AJ86" s="19"/>
      <c r="AK86" s="19"/>
      <c r="AL86" s="19"/>
      <c r="AM86" s="19"/>
    </row>
    <row r="87" spans="1:39" s="2" customFormat="1" ht="81.75" hidden="1" customHeight="1" outlineLevel="4" x14ac:dyDescent="0.25">
      <c r="A87" s="8" t="s">
        <v>931</v>
      </c>
      <c r="B87" s="130" t="s">
        <v>935</v>
      </c>
      <c r="C87" s="26" t="s">
        <v>32</v>
      </c>
      <c r="D87" s="26" t="s">
        <v>118</v>
      </c>
      <c r="E87" s="20">
        <f t="shared" ref="E87" si="81">SUM(F87:I87)</f>
        <v>13.1</v>
      </c>
      <c r="F87" s="20">
        <f t="shared" ref="F87" si="82">K87</f>
        <v>0</v>
      </c>
      <c r="G87" s="38">
        <f t="shared" si="75"/>
        <v>0</v>
      </c>
      <c r="H87" s="38">
        <f t="shared" si="75"/>
        <v>13.1</v>
      </c>
      <c r="I87" s="38"/>
      <c r="J87" s="18"/>
      <c r="K87" s="19"/>
      <c r="L87" s="19"/>
      <c r="M87" s="19"/>
      <c r="N87" s="19"/>
      <c r="O87" s="18"/>
      <c r="P87" s="19"/>
      <c r="Q87" s="19"/>
      <c r="R87" s="19"/>
      <c r="S87" s="19"/>
      <c r="T87" s="18">
        <f t="shared" si="76"/>
        <v>13.1</v>
      </c>
      <c r="U87" s="19"/>
      <c r="V87" s="19"/>
      <c r="W87" s="19">
        <v>13.1</v>
      </c>
      <c r="X87" s="19"/>
      <c r="Y87" s="18"/>
      <c r="Z87" s="19"/>
      <c r="AA87" s="19"/>
      <c r="AB87" s="19"/>
      <c r="AC87" s="19"/>
      <c r="AD87" s="18"/>
      <c r="AE87" s="19"/>
      <c r="AF87" s="19"/>
      <c r="AG87" s="19"/>
      <c r="AH87" s="19"/>
      <c r="AI87" s="18"/>
      <c r="AJ87" s="19"/>
      <c r="AK87" s="19"/>
      <c r="AL87" s="19"/>
      <c r="AM87" s="19"/>
    </row>
    <row r="88" spans="1:39" s="2" customFormat="1" ht="70.5" hidden="1" customHeight="1" outlineLevel="4" x14ac:dyDescent="0.25">
      <c r="A88" s="8" t="s">
        <v>933</v>
      </c>
      <c r="B88" s="42" t="s">
        <v>932</v>
      </c>
      <c r="C88" s="25" t="s">
        <v>32</v>
      </c>
      <c r="D88" s="26" t="s">
        <v>118</v>
      </c>
      <c r="E88" s="20">
        <f t="shared" ref="E88" si="83">SUM(F88:I88)</f>
        <v>84</v>
      </c>
      <c r="F88" s="20">
        <f t="shared" ref="F88" si="84">K88</f>
        <v>0</v>
      </c>
      <c r="G88" s="38">
        <f t="shared" si="75"/>
        <v>0</v>
      </c>
      <c r="H88" s="38">
        <f t="shared" si="75"/>
        <v>84</v>
      </c>
      <c r="I88" s="38"/>
      <c r="J88" s="18"/>
      <c r="K88" s="19"/>
      <c r="L88" s="19"/>
      <c r="M88" s="19"/>
      <c r="N88" s="19"/>
      <c r="O88" s="18"/>
      <c r="P88" s="19"/>
      <c r="Q88" s="19"/>
      <c r="R88" s="19"/>
      <c r="S88" s="19"/>
      <c r="T88" s="18">
        <f t="shared" si="76"/>
        <v>84</v>
      </c>
      <c r="U88" s="19"/>
      <c r="V88" s="19"/>
      <c r="W88" s="19">
        <v>84</v>
      </c>
      <c r="X88" s="19"/>
      <c r="Y88" s="18"/>
      <c r="Z88" s="19"/>
      <c r="AA88" s="19"/>
      <c r="AB88" s="19"/>
      <c r="AC88" s="19"/>
      <c r="AD88" s="18"/>
      <c r="AE88" s="19"/>
      <c r="AF88" s="19"/>
      <c r="AG88" s="19"/>
      <c r="AH88" s="19"/>
      <c r="AI88" s="18"/>
      <c r="AJ88" s="19"/>
      <c r="AK88" s="19"/>
      <c r="AL88" s="19"/>
      <c r="AM88" s="19"/>
    </row>
    <row r="89" spans="1:39" s="2" customFormat="1" ht="51.75" hidden="1" customHeight="1" outlineLevel="4" x14ac:dyDescent="0.25">
      <c r="A89" s="8" t="s">
        <v>934</v>
      </c>
      <c r="B89" s="42" t="s">
        <v>936</v>
      </c>
      <c r="C89" s="25" t="s">
        <v>32</v>
      </c>
      <c r="D89" s="26" t="s">
        <v>118</v>
      </c>
      <c r="E89" s="20">
        <f t="shared" ref="E89" si="85">SUM(F89:I89)</f>
        <v>18.5</v>
      </c>
      <c r="F89" s="20">
        <f t="shared" ref="F89" si="86">K89</f>
        <v>0</v>
      </c>
      <c r="G89" s="38">
        <f t="shared" si="75"/>
        <v>0</v>
      </c>
      <c r="H89" s="38">
        <f t="shared" si="75"/>
        <v>18.5</v>
      </c>
      <c r="I89" s="38"/>
      <c r="J89" s="18"/>
      <c r="K89" s="19"/>
      <c r="L89" s="19"/>
      <c r="M89" s="19"/>
      <c r="N89" s="19"/>
      <c r="O89" s="18"/>
      <c r="P89" s="19"/>
      <c r="Q89" s="19"/>
      <c r="R89" s="19"/>
      <c r="S89" s="19"/>
      <c r="T89" s="18">
        <f t="shared" si="76"/>
        <v>18.5</v>
      </c>
      <c r="U89" s="19"/>
      <c r="V89" s="19"/>
      <c r="W89" s="19">
        <v>18.5</v>
      </c>
      <c r="X89" s="19"/>
      <c r="Y89" s="18"/>
      <c r="Z89" s="19"/>
      <c r="AA89" s="19"/>
      <c r="AB89" s="19"/>
      <c r="AC89" s="19"/>
      <c r="AD89" s="18"/>
      <c r="AE89" s="19"/>
      <c r="AF89" s="19"/>
      <c r="AG89" s="19"/>
      <c r="AH89" s="19"/>
      <c r="AI89" s="18"/>
      <c r="AJ89" s="19"/>
      <c r="AK89" s="19"/>
      <c r="AL89" s="19"/>
      <c r="AM89" s="19"/>
    </row>
    <row r="90" spans="1:39" s="2" customFormat="1" ht="38.25" hidden="1" customHeight="1" outlineLevel="3" x14ac:dyDescent="0.25">
      <c r="A90" s="165" t="s">
        <v>322</v>
      </c>
      <c r="B90" s="205" t="s">
        <v>906</v>
      </c>
      <c r="C90" s="205"/>
      <c r="D90" s="194"/>
      <c r="E90" s="20">
        <f>SUM(E91:E92)</f>
        <v>323.10000000000002</v>
      </c>
      <c r="F90" s="20">
        <f t="shared" ref="F90:AM90" si="87">SUM(F91:F92)</f>
        <v>0</v>
      </c>
      <c r="G90" s="20">
        <f t="shared" si="87"/>
        <v>0</v>
      </c>
      <c r="H90" s="20">
        <f t="shared" si="87"/>
        <v>323.10000000000002</v>
      </c>
      <c r="I90" s="20">
        <f t="shared" si="87"/>
        <v>0</v>
      </c>
      <c r="J90" s="20">
        <f t="shared" si="87"/>
        <v>139.10000000000002</v>
      </c>
      <c r="K90" s="20">
        <f t="shared" si="87"/>
        <v>0</v>
      </c>
      <c r="L90" s="20">
        <f t="shared" si="87"/>
        <v>0</v>
      </c>
      <c r="M90" s="20">
        <f t="shared" si="87"/>
        <v>139.10000000000002</v>
      </c>
      <c r="N90" s="20">
        <f t="shared" si="87"/>
        <v>0</v>
      </c>
      <c r="O90" s="20">
        <f t="shared" si="87"/>
        <v>0</v>
      </c>
      <c r="P90" s="20">
        <f t="shared" si="87"/>
        <v>0</v>
      </c>
      <c r="Q90" s="20">
        <f t="shared" si="87"/>
        <v>0</v>
      </c>
      <c r="R90" s="20">
        <f t="shared" si="87"/>
        <v>0</v>
      </c>
      <c r="S90" s="20">
        <f t="shared" si="87"/>
        <v>0</v>
      </c>
      <c r="T90" s="20">
        <f t="shared" si="87"/>
        <v>184</v>
      </c>
      <c r="U90" s="20">
        <f t="shared" si="87"/>
        <v>0</v>
      </c>
      <c r="V90" s="20">
        <f t="shared" si="87"/>
        <v>0</v>
      </c>
      <c r="W90" s="20">
        <f t="shared" si="87"/>
        <v>184</v>
      </c>
      <c r="X90" s="20">
        <f t="shared" si="87"/>
        <v>0</v>
      </c>
      <c r="Y90" s="20">
        <f t="shared" si="87"/>
        <v>0</v>
      </c>
      <c r="Z90" s="20">
        <f t="shared" si="87"/>
        <v>0</v>
      </c>
      <c r="AA90" s="20">
        <f t="shared" si="87"/>
        <v>0</v>
      </c>
      <c r="AB90" s="20">
        <f t="shared" si="87"/>
        <v>0</v>
      </c>
      <c r="AC90" s="20">
        <f t="shared" si="87"/>
        <v>0</v>
      </c>
      <c r="AD90" s="20">
        <f t="shared" si="87"/>
        <v>0</v>
      </c>
      <c r="AE90" s="20">
        <f t="shared" si="87"/>
        <v>0</v>
      </c>
      <c r="AF90" s="20">
        <f t="shared" si="87"/>
        <v>0</v>
      </c>
      <c r="AG90" s="20">
        <f t="shared" si="87"/>
        <v>0</v>
      </c>
      <c r="AH90" s="20">
        <f t="shared" si="87"/>
        <v>0</v>
      </c>
      <c r="AI90" s="20">
        <f t="shared" si="87"/>
        <v>0</v>
      </c>
      <c r="AJ90" s="20">
        <f t="shared" si="87"/>
        <v>0</v>
      </c>
      <c r="AK90" s="20">
        <f t="shared" si="87"/>
        <v>0</v>
      </c>
      <c r="AL90" s="20">
        <f t="shared" si="87"/>
        <v>0</v>
      </c>
      <c r="AM90" s="20">
        <f t="shared" si="87"/>
        <v>0</v>
      </c>
    </row>
    <row r="91" spans="1:39" s="2" customFormat="1" ht="126" hidden="1" outlineLevel="4" x14ac:dyDescent="0.25">
      <c r="A91" s="8" t="s">
        <v>323</v>
      </c>
      <c r="B91" s="25" t="s">
        <v>324</v>
      </c>
      <c r="C91" s="26" t="s">
        <v>32</v>
      </c>
      <c r="D91" s="26" t="s">
        <v>118</v>
      </c>
      <c r="E91" s="20">
        <f>SUM(F91:I91)</f>
        <v>139.10000000000002</v>
      </c>
      <c r="F91" s="20">
        <f>K91</f>
        <v>0</v>
      </c>
      <c r="G91" s="38">
        <f>L91+Q91+V91+AA91+AF91+AK91</f>
        <v>0</v>
      </c>
      <c r="H91" s="38">
        <f>M91+R91+W91+AB91+AG91+AL91</f>
        <v>139.10000000000002</v>
      </c>
      <c r="I91" s="38">
        <f>N91+S91+X91+AC91+AH91+AM91</f>
        <v>0</v>
      </c>
      <c r="J91" s="18">
        <f>SUM(K91:N91)</f>
        <v>139.10000000000002</v>
      </c>
      <c r="K91" s="19">
        <v>0</v>
      </c>
      <c r="L91" s="19">
        <v>0</v>
      </c>
      <c r="M91" s="19">
        <f>597.5-458.4</f>
        <v>139.10000000000002</v>
      </c>
      <c r="N91" s="19">
        <v>0</v>
      </c>
      <c r="O91" s="18">
        <f>SUM(P91:S91)</f>
        <v>0</v>
      </c>
      <c r="P91" s="19">
        <v>0</v>
      </c>
      <c r="Q91" s="19">
        <v>0</v>
      </c>
      <c r="R91" s="19">
        <v>0</v>
      </c>
      <c r="S91" s="19">
        <v>0</v>
      </c>
      <c r="T91" s="18">
        <f>SUM(U91:X91)</f>
        <v>0</v>
      </c>
      <c r="U91" s="19">
        <v>0</v>
      </c>
      <c r="V91" s="19">
        <v>0</v>
      </c>
      <c r="W91" s="19">
        <v>0</v>
      </c>
      <c r="X91" s="19">
        <v>0</v>
      </c>
      <c r="Y91" s="18">
        <f>SUM(Z91:AC91)</f>
        <v>0</v>
      </c>
      <c r="Z91" s="19">
        <v>0</v>
      </c>
      <c r="AA91" s="19">
        <v>0</v>
      </c>
      <c r="AB91" s="19">
        <v>0</v>
      </c>
      <c r="AC91" s="19">
        <v>0</v>
      </c>
      <c r="AD91" s="18">
        <f>SUM(AE91:AH91)</f>
        <v>0</v>
      </c>
      <c r="AE91" s="19">
        <v>0</v>
      </c>
      <c r="AF91" s="19">
        <v>0</v>
      </c>
      <c r="AG91" s="19">
        <v>0</v>
      </c>
      <c r="AH91" s="19">
        <v>0</v>
      </c>
      <c r="AI91" s="18">
        <f>SUM(AJ91:AM91)</f>
        <v>0</v>
      </c>
      <c r="AJ91" s="19">
        <v>0</v>
      </c>
      <c r="AK91" s="19">
        <v>0</v>
      </c>
      <c r="AL91" s="19">
        <v>0</v>
      </c>
      <c r="AM91" s="19">
        <v>0</v>
      </c>
    </row>
    <row r="92" spans="1:39" s="2" customFormat="1" ht="96" hidden="1" customHeight="1" outlineLevel="4" x14ac:dyDescent="0.25">
      <c r="A92" s="8" t="s">
        <v>905</v>
      </c>
      <c r="B92" s="118" t="s">
        <v>974</v>
      </c>
      <c r="C92" s="26" t="s">
        <v>32</v>
      </c>
      <c r="D92" s="26" t="s">
        <v>118</v>
      </c>
      <c r="E92" s="20">
        <f>H92</f>
        <v>184</v>
      </c>
      <c r="F92" s="38"/>
      <c r="G92" s="38"/>
      <c r="H92" s="38">
        <f>M92+R92+W92+AB92+AG92+AL92</f>
        <v>184</v>
      </c>
      <c r="I92" s="38"/>
      <c r="J92" s="18"/>
      <c r="K92" s="19"/>
      <c r="L92" s="19"/>
      <c r="M92" s="19"/>
      <c r="N92" s="19"/>
      <c r="O92" s="18"/>
      <c r="P92" s="19"/>
      <c r="Q92" s="19"/>
      <c r="R92" s="19"/>
      <c r="S92" s="19"/>
      <c r="T92" s="18">
        <f>W92</f>
        <v>184</v>
      </c>
      <c r="U92" s="19"/>
      <c r="V92" s="19"/>
      <c r="W92" s="19">
        <f>400-216</f>
        <v>184</v>
      </c>
      <c r="X92" s="19"/>
      <c r="Y92" s="18"/>
      <c r="Z92" s="19"/>
      <c r="AA92" s="19"/>
      <c r="AB92" s="19"/>
      <c r="AC92" s="19"/>
      <c r="AD92" s="18"/>
      <c r="AE92" s="19"/>
      <c r="AF92" s="19"/>
      <c r="AG92" s="19"/>
      <c r="AH92" s="19"/>
      <c r="AI92" s="18"/>
      <c r="AJ92" s="19"/>
      <c r="AK92" s="19"/>
      <c r="AL92" s="19"/>
      <c r="AM92" s="19"/>
    </row>
    <row r="93" spans="1:39" s="2" customFormat="1" ht="62.25" hidden="1" customHeight="1" outlineLevel="3" x14ac:dyDescent="0.25">
      <c r="A93" s="165" t="s">
        <v>372</v>
      </c>
      <c r="B93" s="205" t="s">
        <v>395</v>
      </c>
      <c r="C93" s="205"/>
      <c r="D93" s="194"/>
      <c r="E93" s="20">
        <f t="shared" ref="E93:AM93" si="88">SUM(E94:E99)</f>
        <v>634.6</v>
      </c>
      <c r="F93" s="20">
        <f t="shared" si="88"/>
        <v>0</v>
      </c>
      <c r="G93" s="20">
        <f t="shared" si="88"/>
        <v>0</v>
      </c>
      <c r="H93" s="20">
        <f t="shared" si="88"/>
        <v>634.6</v>
      </c>
      <c r="I93" s="20">
        <f t="shared" si="88"/>
        <v>0</v>
      </c>
      <c r="J93" s="20">
        <f t="shared" si="88"/>
        <v>484.6</v>
      </c>
      <c r="K93" s="20">
        <f t="shared" si="88"/>
        <v>0</v>
      </c>
      <c r="L93" s="20">
        <f t="shared" si="88"/>
        <v>0</v>
      </c>
      <c r="M93" s="20">
        <f t="shared" si="88"/>
        <v>484.6</v>
      </c>
      <c r="N93" s="20">
        <f t="shared" si="88"/>
        <v>0</v>
      </c>
      <c r="O93" s="20">
        <f t="shared" si="88"/>
        <v>150</v>
      </c>
      <c r="P93" s="20">
        <f t="shared" si="88"/>
        <v>0</v>
      </c>
      <c r="Q93" s="20">
        <f t="shared" si="88"/>
        <v>0</v>
      </c>
      <c r="R93" s="20">
        <f>SUM(R94:R99)</f>
        <v>150</v>
      </c>
      <c r="S93" s="20">
        <f t="shared" si="88"/>
        <v>0</v>
      </c>
      <c r="T93" s="20">
        <f t="shared" si="88"/>
        <v>0</v>
      </c>
      <c r="U93" s="20">
        <f t="shared" si="88"/>
        <v>0</v>
      </c>
      <c r="V93" s="20">
        <f t="shared" si="88"/>
        <v>0</v>
      </c>
      <c r="W93" s="20">
        <f t="shared" si="88"/>
        <v>0</v>
      </c>
      <c r="X93" s="20">
        <f t="shared" si="88"/>
        <v>0</v>
      </c>
      <c r="Y93" s="20">
        <f t="shared" si="88"/>
        <v>0</v>
      </c>
      <c r="Z93" s="20">
        <f t="shared" si="88"/>
        <v>0</v>
      </c>
      <c r="AA93" s="20">
        <f t="shared" si="88"/>
        <v>0</v>
      </c>
      <c r="AB93" s="20">
        <f t="shared" si="88"/>
        <v>0</v>
      </c>
      <c r="AC93" s="20">
        <f t="shared" si="88"/>
        <v>0</v>
      </c>
      <c r="AD93" s="20">
        <f t="shared" si="88"/>
        <v>0</v>
      </c>
      <c r="AE93" s="20">
        <f t="shared" si="88"/>
        <v>0</v>
      </c>
      <c r="AF93" s="20">
        <f t="shared" si="88"/>
        <v>0</v>
      </c>
      <c r="AG93" s="20">
        <f t="shared" si="88"/>
        <v>0</v>
      </c>
      <c r="AH93" s="20">
        <f t="shared" si="88"/>
        <v>0</v>
      </c>
      <c r="AI93" s="20">
        <f t="shared" si="88"/>
        <v>0</v>
      </c>
      <c r="AJ93" s="20">
        <f t="shared" si="88"/>
        <v>0</v>
      </c>
      <c r="AK93" s="20">
        <f t="shared" si="88"/>
        <v>0</v>
      </c>
      <c r="AL93" s="20">
        <f t="shared" si="88"/>
        <v>0</v>
      </c>
      <c r="AM93" s="20">
        <f t="shared" si="88"/>
        <v>0</v>
      </c>
    </row>
    <row r="94" spans="1:39" s="2" customFormat="1" ht="31.5" hidden="1" outlineLevel="4" x14ac:dyDescent="0.25">
      <c r="A94" s="8" t="s">
        <v>373</v>
      </c>
      <c r="B94" s="25" t="s">
        <v>66</v>
      </c>
      <c r="C94" s="26" t="s">
        <v>32</v>
      </c>
      <c r="D94" s="26" t="s">
        <v>118</v>
      </c>
      <c r="E94" s="20">
        <f>SUM(F94:I94)</f>
        <v>356.1</v>
      </c>
      <c r="F94" s="20">
        <f>K94</f>
        <v>0</v>
      </c>
      <c r="G94" s="38">
        <f t="shared" ref="G94:I99" si="89">L94+Q94+V94+AA94+AF94+AK94</f>
        <v>0</v>
      </c>
      <c r="H94" s="38">
        <f t="shared" si="89"/>
        <v>356.1</v>
      </c>
      <c r="I94" s="38">
        <f t="shared" si="89"/>
        <v>0</v>
      </c>
      <c r="J94" s="18">
        <f t="shared" ref="J94:J99" si="90">SUM(K94:N94)</f>
        <v>346.1</v>
      </c>
      <c r="K94" s="19">
        <v>0</v>
      </c>
      <c r="L94" s="20">
        <v>0</v>
      </c>
      <c r="M94" s="19">
        <v>346.1</v>
      </c>
      <c r="N94" s="20">
        <v>0</v>
      </c>
      <c r="O94" s="18">
        <f t="shared" ref="O94:O99" si="91">SUM(P94:S94)</f>
        <v>10</v>
      </c>
      <c r="P94" s="19">
        <v>0</v>
      </c>
      <c r="Q94" s="20">
        <v>0</v>
      </c>
      <c r="R94" s="19">
        <v>10</v>
      </c>
      <c r="S94" s="20">
        <v>0</v>
      </c>
      <c r="T94" s="18">
        <f t="shared" ref="T94:T99" si="92">SUM(U94:X94)</f>
        <v>0</v>
      </c>
      <c r="U94" s="20">
        <f t="shared" ref="U94:U99" si="93">Z94</f>
        <v>0</v>
      </c>
      <c r="V94" s="19">
        <v>0</v>
      </c>
      <c r="W94" s="19">
        <v>0</v>
      </c>
      <c r="X94" s="19">
        <v>0</v>
      </c>
      <c r="Y94" s="18">
        <f t="shared" ref="Y94:Y99" si="94">SUM(Z94:AC94)</f>
        <v>0</v>
      </c>
      <c r="Z94" s="20">
        <f t="shared" ref="Z94:Z99" si="95">AE94</f>
        <v>0</v>
      </c>
      <c r="AA94" s="19">
        <v>0</v>
      </c>
      <c r="AB94" s="19">
        <v>0</v>
      </c>
      <c r="AC94" s="19">
        <v>0</v>
      </c>
      <c r="AD94" s="18">
        <f t="shared" ref="AD94:AD99" si="96">SUM(AE94:AH94)</f>
        <v>0</v>
      </c>
      <c r="AE94" s="20">
        <f t="shared" ref="AE94:AE99" si="97">AJ94</f>
        <v>0</v>
      </c>
      <c r="AF94" s="19">
        <v>0</v>
      </c>
      <c r="AG94" s="19">
        <v>0</v>
      </c>
      <c r="AH94" s="19">
        <v>0</v>
      </c>
      <c r="AI94" s="18">
        <f t="shared" ref="AI94:AI99" si="98">SUM(AJ94:AM94)</f>
        <v>0</v>
      </c>
      <c r="AJ94" s="20">
        <f t="shared" ref="AJ94:AJ99" si="99">AO94</f>
        <v>0</v>
      </c>
      <c r="AK94" s="19">
        <v>0</v>
      </c>
      <c r="AL94" s="19">
        <v>0</v>
      </c>
      <c r="AM94" s="19">
        <v>0</v>
      </c>
    </row>
    <row r="95" spans="1:39" s="2" customFormat="1" ht="31.5" hidden="1" outlineLevel="4" x14ac:dyDescent="0.25">
      <c r="A95" s="8" t="s">
        <v>374</v>
      </c>
      <c r="B95" s="25" t="s">
        <v>65</v>
      </c>
      <c r="C95" s="26" t="s">
        <v>32</v>
      </c>
      <c r="D95" s="26" t="s">
        <v>118</v>
      </c>
      <c r="E95" s="20">
        <f>SUM(F95:I95)</f>
        <v>148.5</v>
      </c>
      <c r="F95" s="20">
        <f>K95</f>
        <v>0</v>
      </c>
      <c r="G95" s="38">
        <f t="shared" si="89"/>
        <v>0</v>
      </c>
      <c r="H95" s="38">
        <f t="shared" si="89"/>
        <v>148.5</v>
      </c>
      <c r="I95" s="38">
        <f t="shared" si="89"/>
        <v>0</v>
      </c>
      <c r="J95" s="18">
        <f t="shared" si="90"/>
        <v>138.5</v>
      </c>
      <c r="K95" s="19">
        <v>0</v>
      </c>
      <c r="L95" s="20">
        <v>0</v>
      </c>
      <c r="M95" s="19">
        <v>138.5</v>
      </c>
      <c r="N95" s="20">
        <v>0</v>
      </c>
      <c r="O95" s="18">
        <f t="shared" si="91"/>
        <v>10</v>
      </c>
      <c r="P95" s="19">
        <v>0</v>
      </c>
      <c r="Q95" s="20">
        <v>0</v>
      </c>
      <c r="R95" s="19">
        <v>10</v>
      </c>
      <c r="S95" s="20">
        <v>0</v>
      </c>
      <c r="T95" s="18">
        <f t="shared" si="92"/>
        <v>0</v>
      </c>
      <c r="U95" s="20">
        <f t="shared" si="93"/>
        <v>0</v>
      </c>
      <c r="V95" s="19">
        <v>0</v>
      </c>
      <c r="W95" s="19">
        <v>0</v>
      </c>
      <c r="X95" s="19">
        <v>0</v>
      </c>
      <c r="Y95" s="18">
        <f t="shared" si="94"/>
        <v>0</v>
      </c>
      <c r="Z95" s="20">
        <f t="shared" si="95"/>
        <v>0</v>
      </c>
      <c r="AA95" s="19">
        <v>0</v>
      </c>
      <c r="AB95" s="19">
        <v>0</v>
      </c>
      <c r="AC95" s="19">
        <v>0</v>
      </c>
      <c r="AD95" s="18">
        <f t="shared" si="96"/>
        <v>0</v>
      </c>
      <c r="AE95" s="20">
        <f t="shared" si="97"/>
        <v>0</v>
      </c>
      <c r="AF95" s="19">
        <v>0</v>
      </c>
      <c r="AG95" s="19">
        <v>0</v>
      </c>
      <c r="AH95" s="19">
        <v>0</v>
      </c>
      <c r="AI95" s="18">
        <f t="shared" si="98"/>
        <v>0</v>
      </c>
      <c r="AJ95" s="20">
        <f t="shared" si="99"/>
        <v>0</v>
      </c>
      <c r="AK95" s="19">
        <v>0</v>
      </c>
      <c r="AL95" s="19">
        <v>0</v>
      </c>
      <c r="AM95" s="19">
        <v>0</v>
      </c>
    </row>
    <row r="96" spans="1:39" s="2" customFormat="1" ht="31.5" hidden="1" outlineLevel="4" x14ac:dyDescent="0.25">
      <c r="A96" s="8" t="s">
        <v>405</v>
      </c>
      <c r="B96" s="44" t="s">
        <v>54</v>
      </c>
      <c r="C96" s="26" t="s">
        <v>32</v>
      </c>
      <c r="D96" s="26" t="s">
        <v>118</v>
      </c>
      <c r="E96" s="20">
        <f>H96</f>
        <v>100</v>
      </c>
      <c r="F96" s="38">
        <f>K96+P96+U96+Z96+AE96+AJ96</f>
        <v>0</v>
      </c>
      <c r="G96" s="38">
        <f t="shared" si="89"/>
        <v>0</v>
      </c>
      <c r="H96" s="38">
        <f t="shared" si="89"/>
        <v>100</v>
      </c>
      <c r="I96" s="38">
        <f t="shared" si="89"/>
        <v>0</v>
      </c>
      <c r="J96" s="18">
        <f t="shared" si="90"/>
        <v>0</v>
      </c>
      <c r="K96" s="19">
        <v>0</v>
      </c>
      <c r="L96" s="20">
        <v>0</v>
      </c>
      <c r="M96" s="20">
        <v>0</v>
      </c>
      <c r="N96" s="20">
        <v>0</v>
      </c>
      <c r="O96" s="18">
        <f t="shared" si="91"/>
        <v>100</v>
      </c>
      <c r="P96" s="19">
        <v>0</v>
      </c>
      <c r="Q96" s="20">
        <v>0</v>
      </c>
      <c r="R96" s="19">
        <f>165.6-145.6+80</f>
        <v>100</v>
      </c>
      <c r="S96" s="20">
        <v>0</v>
      </c>
      <c r="T96" s="18">
        <f t="shared" si="92"/>
        <v>0</v>
      </c>
      <c r="U96" s="20">
        <f t="shared" si="93"/>
        <v>0</v>
      </c>
      <c r="V96" s="19">
        <v>0</v>
      </c>
      <c r="W96" s="19">
        <v>0</v>
      </c>
      <c r="X96" s="19">
        <v>0</v>
      </c>
      <c r="Y96" s="18">
        <f t="shared" si="94"/>
        <v>0</v>
      </c>
      <c r="Z96" s="20">
        <f t="shared" si="95"/>
        <v>0</v>
      </c>
      <c r="AA96" s="19">
        <v>0</v>
      </c>
      <c r="AB96" s="19">
        <v>0</v>
      </c>
      <c r="AC96" s="19">
        <v>0</v>
      </c>
      <c r="AD96" s="18">
        <f t="shared" si="96"/>
        <v>0</v>
      </c>
      <c r="AE96" s="20">
        <f t="shared" si="97"/>
        <v>0</v>
      </c>
      <c r="AF96" s="19">
        <v>0</v>
      </c>
      <c r="AG96" s="19">
        <v>0</v>
      </c>
      <c r="AH96" s="19">
        <v>0</v>
      </c>
      <c r="AI96" s="18">
        <f t="shared" si="98"/>
        <v>0</v>
      </c>
      <c r="AJ96" s="20">
        <f t="shared" si="99"/>
        <v>0</v>
      </c>
      <c r="AK96" s="19">
        <v>0</v>
      </c>
      <c r="AL96" s="19">
        <v>0</v>
      </c>
      <c r="AM96" s="19">
        <v>0</v>
      </c>
    </row>
    <row r="97" spans="1:39" s="2" customFormat="1" ht="31.5" hidden="1" outlineLevel="4" x14ac:dyDescent="0.25">
      <c r="A97" s="8" t="s">
        <v>406</v>
      </c>
      <c r="B97" s="44" t="s">
        <v>61</v>
      </c>
      <c r="C97" s="26" t="s">
        <v>32</v>
      </c>
      <c r="D97" s="26" t="s">
        <v>118</v>
      </c>
      <c r="E97" s="20">
        <f>H97</f>
        <v>10.000000000000004</v>
      </c>
      <c r="F97" s="38">
        <f>K97+P97+U97+Z97+AE97+AJ97</f>
        <v>0</v>
      </c>
      <c r="G97" s="38">
        <f t="shared" si="89"/>
        <v>0</v>
      </c>
      <c r="H97" s="38">
        <f t="shared" si="89"/>
        <v>10.000000000000004</v>
      </c>
      <c r="I97" s="38">
        <f t="shared" si="89"/>
        <v>0</v>
      </c>
      <c r="J97" s="18">
        <f t="shared" si="90"/>
        <v>0</v>
      </c>
      <c r="K97" s="19">
        <v>0</v>
      </c>
      <c r="L97" s="20">
        <v>0</v>
      </c>
      <c r="M97" s="20">
        <v>0</v>
      </c>
      <c r="N97" s="20">
        <v>0</v>
      </c>
      <c r="O97" s="18">
        <f t="shared" si="91"/>
        <v>10.000000000000004</v>
      </c>
      <c r="P97" s="19">
        <v>0</v>
      </c>
      <c r="Q97" s="20">
        <v>0</v>
      </c>
      <c r="R97" s="19">
        <f>33.2-23.2</f>
        <v>10.000000000000004</v>
      </c>
      <c r="S97" s="20">
        <v>0</v>
      </c>
      <c r="T97" s="18">
        <f t="shared" si="92"/>
        <v>0</v>
      </c>
      <c r="U97" s="20">
        <f t="shared" si="93"/>
        <v>0</v>
      </c>
      <c r="V97" s="19">
        <v>0</v>
      </c>
      <c r="W97" s="19">
        <v>0</v>
      </c>
      <c r="X97" s="19">
        <v>0</v>
      </c>
      <c r="Y97" s="18">
        <f t="shared" si="94"/>
        <v>0</v>
      </c>
      <c r="Z97" s="20">
        <f t="shared" si="95"/>
        <v>0</v>
      </c>
      <c r="AA97" s="19">
        <v>0</v>
      </c>
      <c r="AB97" s="19">
        <v>0</v>
      </c>
      <c r="AC97" s="19">
        <v>0</v>
      </c>
      <c r="AD97" s="18">
        <f t="shared" si="96"/>
        <v>0</v>
      </c>
      <c r="AE97" s="20">
        <f t="shared" si="97"/>
        <v>0</v>
      </c>
      <c r="AF97" s="19">
        <v>0</v>
      </c>
      <c r="AG97" s="19">
        <v>0</v>
      </c>
      <c r="AH97" s="19">
        <v>0</v>
      </c>
      <c r="AI97" s="18">
        <f t="shared" si="98"/>
        <v>0</v>
      </c>
      <c r="AJ97" s="20">
        <f t="shared" si="99"/>
        <v>0</v>
      </c>
      <c r="AK97" s="19">
        <v>0</v>
      </c>
      <c r="AL97" s="19">
        <v>0</v>
      </c>
      <c r="AM97" s="19">
        <v>0</v>
      </c>
    </row>
    <row r="98" spans="1:39" s="2" customFormat="1" ht="31.5" hidden="1" outlineLevel="4" x14ac:dyDescent="0.25">
      <c r="A98" s="8" t="s">
        <v>407</v>
      </c>
      <c r="B98" s="44" t="s">
        <v>52</v>
      </c>
      <c r="C98" s="26" t="s">
        <v>32</v>
      </c>
      <c r="D98" s="26" t="s">
        <v>118</v>
      </c>
      <c r="E98" s="20">
        <f>H98</f>
        <v>10</v>
      </c>
      <c r="F98" s="38">
        <f>K98+P98+U98+Z98+AE98+AJ98</f>
        <v>0</v>
      </c>
      <c r="G98" s="38">
        <f t="shared" si="89"/>
        <v>0</v>
      </c>
      <c r="H98" s="38">
        <f t="shared" si="89"/>
        <v>10</v>
      </c>
      <c r="I98" s="38">
        <f t="shared" si="89"/>
        <v>0</v>
      </c>
      <c r="J98" s="18">
        <f t="shared" si="90"/>
        <v>0</v>
      </c>
      <c r="K98" s="19">
        <v>0</v>
      </c>
      <c r="L98" s="20">
        <v>0</v>
      </c>
      <c r="M98" s="20">
        <v>0</v>
      </c>
      <c r="N98" s="20">
        <f>S98</f>
        <v>0</v>
      </c>
      <c r="O98" s="18">
        <f t="shared" si="91"/>
        <v>10</v>
      </c>
      <c r="P98" s="19">
        <v>0</v>
      </c>
      <c r="Q98" s="20">
        <v>0</v>
      </c>
      <c r="R98" s="19">
        <f>283.1-273.1</f>
        <v>10</v>
      </c>
      <c r="S98" s="20">
        <v>0</v>
      </c>
      <c r="T98" s="18">
        <f t="shared" si="92"/>
        <v>0</v>
      </c>
      <c r="U98" s="20">
        <f t="shared" si="93"/>
        <v>0</v>
      </c>
      <c r="V98" s="19">
        <v>0</v>
      </c>
      <c r="W98" s="19">
        <v>0</v>
      </c>
      <c r="X98" s="19">
        <v>0</v>
      </c>
      <c r="Y98" s="18">
        <f t="shared" si="94"/>
        <v>0</v>
      </c>
      <c r="Z98" s="20">
        <f t="shared" si="95"/>
        <v>0</v>
      </c>
      <c r="AA98" s="19">
        <v>0</v>
      </c>
      <c r="AB98" s="19">
        <v>0</v>
      </c>
      <c r="AC98" s="19">
        <v>0</v>
      </c>
      <c r="AD98" s="18">
        <f t="shared" si="96"/>
        <v>0</v>
      </c>
      <c r="AE98" s="20">
        <f t="shared" si="97"/>
        <v>0</v>
      </c>
      <c r="AF98" s="19">
        <v>0</v>
      </c>
      <c r="AG98" s="19">
        <v>0</v>
      </c>
      <c r="AH98" s="19">
        <v>0</v>
      </c>
      <c r="AI98" s="18">
        <f t="shared" si="98"/>
        <v>0</v>
      </c>
      <c r="AJ98" s="20">
        <f t="shared" si="99"/>
        <v>0</v>
      </c>
      <c r="AK98" s="19">
        <v>0</v>
      </c>
      <c r="AL98" s="19">
        <v>0</v>
      </c>
      <c r="AM98" s="19">
        <v>0</v>
      </c>
    </row>
    <row r="99" spans="1:39" s="2" customFormat="1" ht="31.5" hidden="1" outlineLevel="4" x14ac:dyDescent="0.25">
      <c r="A99" s="8" t="s">
        <v>482</v>
      </c>
      <c r="B99" s="44" t="s">
        <v>49</v>
      </c>
      <c r="C99" s="26" t="s">
        <v>32</v>
      </c>
      <c r="D99" s="26" t="s">
        <v>118</v>
      </c>
      <c r="E99" s="20">
        <f>H99</f>
        <v>10</v>
      </c>
      <c r="F99" s="38">
        <f>K99+P99+U99+Z99+AE99+AJ99</f>
        <v>0</v>
      </c>
      <c r="G99" s="38">
        <f t="shared" si="89"/>
        <v>0</v>
      </c>
      <c r="H99" s="38">
        <f t="shared" si="89"/>
        <v>10</v>
      </c>
      <c r="I99" s="38">
        <f t="shared" si="89"/>
        <v>0</v>
      </c>
      <c r="J99" s="18">
        <f t="shared" si="90"/>
        <v>0</v>
      </c>
      <c r="K99" s="19">
        <v>0</v>
      </c>
      <c r="L99" s="20">
        <v>0</v>
      </c>
      <c r="M99" s="20">
        <v>0</v>
      </c>
      <c r="N99" s="20">
        <f>S99</f>
        <v>0</v>
      </c>
      <c r="O99" s="18">
        <f t="shared" si="91"/>
        <v>10</v>
      </c>
      <c r="P99" s="19">
        <v>0</v>
      </c>
      <c r="Q99" s="20">
        <v>0</v>
      </c>
      <c r="R99" s="19">
        <v>10</v>
      </c>
      <c r="S99" s="20">
        <v>0</v>
      </c>
      <c r="T99" s="18">
        <f t="shared" si="92"/>
        <v>0</v>
      </c>
      <c r="U99" s="20">
        <f t="shared" si="93"/>
        <v>0</v>
      </c>
      <c r="V99" s="19">
        <v>0</v>
      </c>
      <c r="W99" s="19">
        <v>0</v>
      </c>
      <c r="X99" s="19">
        <v>0</v>
      </c>
      <c r="Y99" s="18">
        <f t="shared" si="94"/>
        <v>0</v>
      </c>
      <c r="Z99" s="20">
        <f t="shared" si="95"/>
        <v>0</v>
      </c>
      <c r="AA99" s="19">
        <v>0</v>
      </c>
      <c r="AB99" s="19">
        <v>0</v>
      </c>
      <c r="AC99" s="19">
        <v>0</v>
      </c>
      <c r="AD99" s="18">
        <f t="shared" si="96"/>
        <v>0</v>
      </c>
      <c r="AE99" s="20">
        <f t="shared" si="97"/>
        <v>0</v>
      </c>
      <c r="AF99" s="19">
        <v>0</v>
      </c>
      <c r="AG99" s="19">
        <v>0</v>
      </c>
      <c r="AH99" s="19">
        <v>0</v>
      </c>
      <c r="AI99" s="18">
        <f t="shared" si="98"/>
        <v>0</v>
      </c>
      <c r="AJ99" s="20">
        <f t="shared" si="99"/>
        <v>0</v>
      </c>
      <c r="AK99" s="19">
        <v>0</v>
      </c>
      <c r="AL99" s="19">
        <v>0</v>
      </c>
      <c r="AM99" s="19">
        <v>0</v>
      </c>
    </row>
    <row r="100" spans="1:39" s="2" customFormat="1" ht="51" hidden="1" customHeight="1" outlineLevel="3" x14ac:dyDescent="0.25">
      <c r="A100" s="165" t="s">
        <v>385</v>
      </c>
      <c r="B100" s="205" t="s">
        <v>858</v>
      </c>
      <c r="C100" s="205"/>
      <c r="D100" s="194"/>
      <c r="E100" s="20">
        <f>SUM(E101:E108)</f>
        <v>1644.1</v>
      </c>
      <c r="F100" s="20">
        <f t="shared" ref="F100:AM100" si="100">SUM(F101:F108)</f>
        <v>0</v>
      </c>
      <c r="G100" s="20">
        <f t="shared" si="100"/>
        <v>0</v>
      </c>
      <c r="H100" s="20">
        <f t="shared" si="100"/>
        <v>1644.1</v>
      </c>
      <c r="I100" s="20">
        <f t="shared" si="100"/>
        <v>0</v>
      </c>
      <c r="J100" s="20">
        <f t="shared" si="100"/>
        <v>248.7</v>
      </c>
      <c r="K100" s="20">
        <f t="shared" si="100"/>
        <v>0</v>
      </c>
      <c r="L100" s="20">
        <f t="shared" si="100"/>
        <v>0</v>
      </c>
      <c r="M100" s="20">
        <f t="shared" si="100"/>
        <v>248.7</v>
      </c>
      <c r="N100" s="20">
        <f t="shared" si="100"/>
        <v>0</v>
      </c>
      <c r="O100" s="20">
        <f t="shared" si="100"/>
        <v>836.40000000000009</v>
      </c>
      <c r="P100" s="20">
        <f t="shared" si="100"/>
        <v>0</v>
      </c>
      <c r="Q100" s="20">
        <f t="shared" si="100"/>
        <v>0</v>
      </c>
      <c r="R100" s="20">
        <f t="shared" si="100"/>
        <v>836.40000000000009</v>
      </c>
      <c r="S100" s="20">
        <f t="shared" si="100"/>
        <v>0</v>
      </c>
      <c r="T100" s="20">
        <f t="shared" si="100"/>
        <v>559</v>
      </c>
      <c r="U100" s="20">
        <f t="shared" si="100"/>
        <v>0</v>
      </c>
      <c r="V100" s="20">
        <f t="shared" si="100"/>
        <v>0</v>
      </c>
      <c r="W100" s="20">
        <f>SUM(W101:W108)</f>
        <v>559</v>
      </c>
      <c r="X100" s="20">
        <f t="shared" si="100"/>
        <v>0</v>
      </c>
      <c r="Y100" s="20">
        <f t="shared" si="100"/>
        <v>0</v>
      </c>
      <c r="Z100" s="20">
        <f t="shared" si="100"/>
        <v>0</v>
      </c>
      <c r="AA100" s="20">
        <f t="shared" si="100"/>
        <v>0</v>
      </c>
      <c r="AB100" s="20">
        <f t="shared" si="100"/>
        <v>0</v>
      </c>
      <c r="AC100" s="20">
        <f t="shared" si="100"/>
        <v>0</v>
      </c>
      <c r="AD100" s="20">
        <f t="shared" si="100"/>
        <v>0</v>
      </c>
      <c r="AE100" s="20">
        <f t="shared" si="100"/>
        <v>0</v>
      </c>
      <c r="AF100" s="20">
        <f t="shared" si="100"/>
        <v>0</v>
      </c>
      <c r="AG100" s="20">
        <f t="shared" si="100"/>
        <v>0</v>
      </c>
      <c r="AH100" s="20">
        <f t="shared" si="100"/>
        <v>0</v>
      </c>
      <c r="AI100" s="20">
        <f t="shared" si="100"/>
        <v>0</v>
      </c>
      <c r="AJ100" s="20">
        <f t="shared" si="100"/>
        <v>0</v>
      </c>
      <c r="AK100" s="20">
        <f t="shared" si="100"/>
        <v>0</v>
      </c>
      <c r="AL100" s="20">
        <f t="shared" si="100"/>
        <v>0</v>
      </c>
      <c r="AM100" s="20">
        <f t="shared" si="100"/>
        <v>0</v>
      </c>
    </row>
    <row r="101" spans="1:39" s="2" customFormat="1" ht="78.75" hidden="1" outlineLevel="4" x14ac:dyDescent="0.25">
      <c r="A101" s="8" t="s">
        <v>387</v>
      </c>
      <c r="B101" s="25" t="s">
        <v>386</v>
      </c>
      <c r="C101" s="26" t="s">
        <v>32</v>
      </c>
      <c r="D101" s="26" t="s">
        <v>118</v>
      </c>
      <c r="E101" s="20">
        <f t="shared" ref="E101:E106" si="101">SUM(F101:I101)</f>
        <v>60.2</v>
      </c>
      <c r="F101" s="20">
        <f>K101</f>
        <v>0</v>
      </c>
      <c r="G101" s="38">
        <f t="shared" ref="G101:I105" si="102">L101+Q101+V101+AA101+AF101+AK101</f>
        <v>0</v>
      </c>
      <c r="H101" s="38">
        <f t="shared" si="102"/>
        <v>60.2</v>
      </c>
      <c r="I101" s="38">
        <f t="shared" si="102"/>
        <v>0</v>
      </c>
      <c r="J101" s="18">
        <f>SUM(K101:N101)</f>
        <v>60.2</v>
      </c>
      <c r="K101" s="19">
        <v>0</v>
      </c>
      <c r="L101" s="19">
        <v>0</v>
      </c>
      <c r="M101" s="19">
        <v>60.2</v>
      </c>
      <c r="N101" s="19">
        <v>0</v>
      </c>
      <c r="O101" s="18">
        <f>SUM(P101:S101)</f>
        <v>0</v>
      </c>
      <c r="P101" s="19">
        <v>0</v>
      </c>
      <c r="Q101" s="19">
        <v>0</v>
      </c>
      <c r="R101" s="19">
        <v>0</v>
      </c>
      <c r="S101" s="19">
        <v>0</v>
      </c>
      <c r="T101" s="18">
        <f>SUM(U101:X101)</f>
        <v>0</v>
      </c>
      <c r="U101" s="19">
        <v>0</v>
      </c>
      <c r="V101" s="19">
        <v>0</v>
      </c>
      <c r="W101" s="19">
        <v>0</v>
      </c>
      <c r="X101" s="19">
        <v>0</v>
      </c>
      <c r="Y101" s="18">
        <f>SUM(Z101:AC101)</f>
        <v>0</v>
      </c>
      <c r="Z101" s="19">
        <v>0</v>
      </c>
      <c r="AA101" s="19">
        <v>0</v>
      </c>
      <c r="AB101" s="19">
        <v>0</v>
      </c>
      <c r="AC101" s="19">
        <v>0</v>
      </c>
      <c r="AD101" s="18">
        <f>SUM(AE101:AH101)</f>
        <v>0</v>
      </c>
      <c r="AE101" s="19">
        <v>0</v>
      </c>
      <c r="AF101" s="19">
        <v>0</v>
      </c>
      <c r="AG101" s="19">
        <v>0</v>
      </c>
      <c r="AH101" s="19">
        <v>0</v>
      </c>
      <c r="AI101" s="18">
        <f>SUM(AJ101:AM101)</f>
        <v>0</v>
      </c>
      <c r="AJ101" s="19">
        <v>0</v>
      </c>
      <c r="AK101" s="19">
        <v>0</v>
      </c>
      <c r="AL101" s="19">
        <v>0</v>
      </c>
      <c r="AM101" s="19">
        <v>0</v>
      </c>
    </row>
    <row r="102" spans="1:39" s="2" customFormat="1" ht="47.25" hidden="1" outlineLevel="4" x14ac:dyDescent="0.25">
      <c r="A102" s="8" t="s">
        <v>408</v>
      </c>
      <c r="B102" s="25" t="s">
        <v>388</v>
      </c>
      <c r="C102" s="26" t="s">
        <v>32</v>
      </c>
      <c r="D102" s="26" t="s">
        <v>118</v>
      </c>
      <c r="E102" s="20">
        <f t="shared" si="101"/>
        <v>188.5</v>
      </c>
      <c r="F102" s="20">
        <f>K102</f>
        <v>0</v>
      </c>
      <c r="G102" s="38">
        <f t="shared" si="102"/>
        <v>0</v>
      </c>
      <c r="H102" s="38">
        <f t="shared" si="102"/>
        <v>188.5</v>
      </c>
      <c r="I102" s="38">
        <f t="shared" si="102"/>
        <v>0</v>
      </c>
      <c r="J102" s="18">
        <f>SUM(K102:N102)</f>
        <v>188.5</v>
      </c>
      <c r="K102" s="19">
        <v>0</v>
      </c>
      <c r="L102" s="19">
        <v>0</v>
      </c>
      <c r="M102" s="19">
        <v>188.5</v>
      </c>
      <c r="N102" s="19">
        <v>0</v>
      </c>
      <c r="O102" s="18">
        <f>SUM(P102:S102)</f>
        <v>0</v>
      </c>
      <c r="P102" s="19">
        <v>0</v>
      </c>
      <c r="Q102" s="19">
        <v>0</v>
      </c>
      <c r="R102" s="19">
        <v>0</v>
      </c>
      <c r="S102" s="19">
        <v>0</v>
      </c>
      <c r="T102" s="18">
        <f>SUM(U102:X102)</f>
        <v>0</v>
      </c>
      <c r="U102" s="19">
        <v>0</v>
      </c>
      <c r="V102" s="19">
        <v>0</v>
      </c>
      <c r="W102" s="19">
        <v>0</v>
      </c>
      <c r="X102" s="19">
        <v>0</v>
      </c>
      <c r="Y102" s="18">
        <f>SUM(Z102:AC102)</f>
        <v>0</v>
      </c>
      <c r="Z102" s="19">
        <v>0</v>
      </c>
      <c r="AA102" s="19">
        <v>0</v>
      </c>
      <c r="AB102" s="19">
        <v>0</v>
      </c>
      <c r="AC102" s="19">
        <v>0</v>
      </c>
      <c r="AD102" s="18">
        <f>SUM(AE102:AH102)</f>
        <v>0</v>
      </c>
      <c r="AE102" s="19">
        <v>0</v>
      </c>
      <c r="AF102" s="19">
        <v>0</v>
      </c>
      <c r="AG102" s="19">
        <v>0</v>
      </c>
      <c r="AH102" s="19">
        <v>0</v>
      </c>
      <c r="AI102" s="18">
        <f>SUM(AJ102:AM102)</f>
        <v>0</v>
      </c>
      <c r="AJ102" s="19">
        <v>0</v>
      </c>
      <c r="AK102" s="19">
        <v>0</v>
      </c>
      <c r="AL102" s="19">
        <v>0</v>
      </c>
      <c r="AM102" s="19">
        <v>0</v>
      </c>
    </row>
    <row r="103" spans="1:39" s="2" customFormat="1" ht="63" hidden="1" outlineLevel="4" x14ac:dyDescent="0.25">
      <c r="A103" s="8" t="s">
        <v>409</v>
      </c>
      <c r="B103" s="43" t="s">
        <v>410</v>
      </c>
      <c r="C103" s="26" t="s">
        <v>32</v>
      </c>
      <c r="D103" s="26" t="s">
        <v>118</v>
      </c>
      <c r="E103" s="20">
        <f t="shared" si="101"/>
        <v>407.1</v>
      </c>
      <c r="F103" s="38">
        <f>K103+P103+U103+Z103+AE103+AJ103</f>
        <v>0</v>
      </c>
      <c r="G103" s="38">
        <f t="shared" si="102"/>
        <v>0</v>
      </c>
      <c r="H103" s="38">
        <f t="shared" si="102"/>
        <v>407.1</v>
      </c>
      <c r="I103" s="38">
        <f t="shared" si="102"/>
        <v>0</v>
      </c>
      <c r="J103" s="18">
        <f>SUM(K103:N103)</f>
        <v>0</v>
      </c>
      <c r="K103" s="19">
        <v>0</v>
      </c>
      <c r="L103" s="19">
        <v>0</v>
      </c>
      <c r="M103" s="19">
        <v>0</v>
      </c>
      <c r="N103" s="19">
        <v>0</v>
      </c>
      <c r="O103" s="18">
        <f>SUM(P103:S103)</f>
        <v>407.1</v>
      </c>
      <c r="P103" s="19">
        <v>0</v>
      </c>
      <c r="Q103" s="19">
        <v>0</v>
      </c>
      <c r="R103" s="19">
        <v>407.1</v>
      </c>
      <c r="S103" s="19">
        <v>0</v>
      </c>
      <c r="T103" s="18">
        <f>SUM(U103:X103)</f>
        <v>0</v>
      </c>
      <c r="U103" s="19">
        <v>0</v>
      </c>
      <c r="V103" s="19">
        <v>0</v>
      </c>
      <c r="W103" s="19">
        <v>0</v>
      </c>
      <c r="X103" s="19">
        <v>0</v>
      </c>
      <c r="Y103" s="18">
        <f>SUM(Z103:AC103)</f>
        <v>0</v>
      </c>
      <c r="Z103" s="19">
        <v>0</v>
      </c>
      <c r="AA103" s="19">
        <v>0</v>
      </c>
      <c r="AB103" s="19">
        <v>0</v>
      </c>
      <c r="AC103" s="19">
        <v>0</v>
      </c>
      <c r="AD103" s="18">
        <f>SUM(AE103:AH103)</f>
        <v>0</v>
      </c>
      <c r="AE103" s="19">
        <v>0</v>
      </c>
      <c r="AF103" s="19">
        <v>0</v>
      </c>
      <c r="AG103" s="19">
        <v>0</v>
      </c>
      <c r="AH103" s="19">
        <v>0</v>
      </c>
      <c r="AI103" s="18">
        <f>SUM(AJ103:AM103)</f>
        <v>0</v>
      </c>
      <c r="AJ103" s="19">
        <v>0</v>
      </c>
      <c r="AK103" s="19">
        <v>0</v>
      </c>
      <c r="AL103" s="19">
        <v>0</v>
      </c>
      <c r="AM103" s="19">
        <v>0</v>
      </c>
    </row>
    <row r="104" spans="1:39" s="2" customFormat="1" ht="63" hidden="1" outlineLevel="4" x14ac:dyDescent="0.25">
      <c r="A104" s="8" t="s">
        <v>512</v>
      </c>
      <c r="B104" s="43" t="s">
        <v>513</v>
      </c>
      <c r="C104" s="26" t="s">
        <v>32</v>
      </c>
      <c r="D104" s="26" t="s">
        <v>118</v>
      </c>
      <c r="E104" s="20">
        <f t="shared" si="101"/>
        <v>390.8</v>
      </c>
      <c r="F104" s="38">
        <f>K104+P104+U104+Z104+AE104+AJ104</f>
        <v>0</v>
      </c>
      <c r="G104" s="38">
        <f t="shared" si="102"/>
        <v>0</v>
      </c>
      <c r="H104" s="38">
        <f t="shared" si="102"/>
        <v>390.8</v>
      </c>
      <c r="I104" s="38">
        <f t="shared" si="102"/>
        <v>0</v>
      </c>
      <c r="J104" s="18">
        <f>SUM(K104:N104)</f>
        <v>0</v>
      </c>
      <c r="K104" s="19">
        <v>0</v>
      </c>
      <c r="L104" s="19">
        <v>0</v>
      </c>
      <c r="M104" s="19">
        <v>0</v>
      </c>
      <c r="N104" s="19">
        <v>0</v>
      </c>
      <c r="O104" s="18">
        <f>SUM(P104:S104)</f>
        <v>390.8</v>
      </c>
      <c r="P104" s="19">
        <v>0</v>
      </c>
      <c r="Q104" s="19">
        <v>0</v>
      </c>
      <c r="R104" s="19">
        <f>451.2-60.4</f>
        <v>390.8</v>
      </c>
      <c r="S104" s="19">
        <v>0</v>
      </c>
      <c r="T104" s="18">
        <f>SUM(U104:X104)</f>
        <v>0</v>
      </c>
      <c r="U104" s="19">
        <v>0</v>
      </c>
      <c r="V104" s="19">
        <v>0</v>
      </c>
      <c r="W104" s="19">
        <v>0</v>
      </c>
      <c r="X104" s="19">
        <v>0</v>
      </c>
      <c r="Y104" s="18">
        <f>SUM(Z104:AC104)</f>
        <v>0</v>
      </c>
      <c r="Z104" s="19">
        <v>0</v>
      </c>
      <c r="AA104" s="19">
        <v>0</v>
      </c>
      <c r="AB104" s="19">
        <v>0</v>
      </c>
      <c r="AC104" s="19">
        <v>0</v>
      </c>
      <c r="AD104" s="18">
        <f>SUM(AE104:AH104)</f>
        <v>0</v>
      </c>
      <c r="AE104" s="19">
        <v>0</v>
      </c>
      <c r="AF104" s="19">
        <v>0</v>
      </c>
      <c r="AG104" s="19">
        <v>0</v>
      </c>
      <c r="AH104" s="19">
        <v>0</v>
      </c>
      <c r="AI104" s="18">
        <f>SUM(AJ104:AM104)</f>
        <v>0</v>
      </c>
      <c r="AJ104" s="19">
        <v>0</v>
      </c>
      <c r="AK104" s="19">
        <v>0</v>
      </c>
      <c r="AL104" s="19">
        <v>0</v>
      </c>
      <c r="AM104" s="19">
        <v>0</v>
      </c>
    </row>
    <row r="105" spans="1:39" s="2" customFormat="1" ht="63" hidden="1" outlineLevel="4" x14ac:dyDescent="0.25">
      <c r="A105" s="8" t="s">
        <v>716</v>
      </c>
      <c r="B105" s="43" t="s">
        <v>717</v>
      </c>
      <c r="C105" s="26" t="s">
        <v>32</v>
      </c>
      <c r="D105" s="26" t="s">
        <v>118</v>
      </c>
      <c r="E105" s="20">
        <f t="shared" si="101"/>
        <v>38.5</v>
      </c>
      <c r="F105" s="38">
        <f>K105+P105+U105+Z105+AE105+AJ105</f>
        <v>0</v>
      </c>
      <c r="G105" s="38">
        <f t="shared" si="102"/>
        <v>0</v>
      </c>
      <c r="H105" s="38">
        <f t="shared" si="102"/>
        <v>38.5</v>
      </c>
      <c r="I105" s="38">
        <f t="shared" si="102"/>
        <v>0</v>
      </c>
      <c r="J105" s="18">
        <f>SUM(K105:N105)</f>
        <v>0</v>
      </c>
      <c r="K105" s="19">
        <v>0</v>
      </c>
      <c r="L105" s="19">
        <v>0</v>
      </c>
      <c r="M105" s="19">
        <v>0</v>
      </c>
      <c r="N105" s="19">
        <v>0</v>
      </c>
      <c r="O105" s="18">
        <f>SUM(P105:S105)</f>
        <v>38.5</v>
      </c>
      <c r="P105" s="19">
        <v>0</v>
      </c>
      <c r="Q105" s="19">
        <v>0</v>
      </c>
      <c r="R105" s="19">
        <v>38.5</v>
      </c>
      <c r="S105" s="19">
        <v>0</v>
      </c>
      <c r="T105" s="18">
        <f>SUM(U105:X105)</f>
        <v>0</v>
      </c>
      <c r="U105" s="19">
        <v>0</v>
      </c>
      <c r="V105" s="19">
        <v>0</v>
      </c>
      <c r="W105" s="19">
        <v>0</v>
      </c>
      <c r="X105" s="19">
        <v>0</v>
      </c>
      <c r="Y105" s="18">
        <f>SUM(Z105:AC105)</f>
        <v>0</v>
      </c>
      <c r="Z105" s="19">
        <v>0</v>
      </c>
      <c r="AA105" s="19">
        <v>0</v>
      </c>
      <c r="AB105" s="19">
        <v>0</v>
      </c>
      <c r="AC105" s="19">
        <v>0</v>
      </c>
      <c r="AD105" s="18">
        <f>SUM(AE105:AH105)</f>
        <v>0</v>
      </c>
      <c r="AE105" s="19">
        <v>0</v>
      </c>
      <c r="AF105" s="19">
        <v>0</v>
      </c>
      <c r="AG105" s="19">
        <v>0</v>
      </c>
      <c r="AH105" s="19">
        <v>0</v>
      </c>
      <c r="AI105" s="18">
        <f>SUM(AJ105:AM105)</f>
        <v>0</v>
      </c>
      <c r="AJ105" s="19">
        <v>0</v>
      </c>
      <c r="AK105" s="19">
        <v>0</v>
      </c>
      <c r="AL105" s="19">
        <v>0</v>
      </c>
      <c r="AM105" s="19">
        <v>0</v>
      </c>
    </row>
    <row r="106" spans="1:39" s="2" customFormat="1" ht="119.25" hidden="1" customHeight="1" outlineLevel="4" x14ac:dyDescent="0.25">
      <c r="A106" s="8" t="s">
        <v>827</v>
      </c>
      <c r="B106" s="118" t="s">
        <v>826</v>
      </c>
      <c r="C106" s="26" t="s">
        <v>32</v>
      </c>
      <c r="D106" s="26" t="s">
        <v>118</v>
      </c>
      <c r="E106" s="20">
        <f t="shared" si="101"/>
        <v>72</v>
      </c>
      <c r="F106" s="38">
        <f>K106+P106+U106+Z106+AE106+AJ106</f>
        <v>0</v>
      </c>
      <c r="G106" s="38">
        <f>L106+Q106+V106+AA106+AF106+AK106</f>
        <v>0</v>
      </c>
      <c r="H106" s="38">
        <f>M106+R106+W106+AB106+AG106+AL106</f>
        <v>72</v>
      </c>
      <c r="I106" s="38"/>
      <c r="J106" s="18"/>
      <c r="K106" s="19"/>
      <c r="L106" s="19"/>
      <c r="M106" s="19"/>
      <c r="N106" s="19"/>
      <c r="O106" s="18"/>
      <c r="P106" s="19"/>
      <c r="Q106" s="19"/>
      <c r="R106" s="19"/>
      <c r="S106" s="19"/>
      <c r="T106" s="18">
        <f>W106</f>
        <v>72</v>
      </c>
      <c r="U106" s="19"/>
      <c r="V106" s="19"/>
      <c r="W106" s="19">
        <v>72</v>
      </c>
      <c r="X106" s="19"/>
      <c r="Y106" s="18"/>
      <c r="Z106" s="19"/>
      <c r="AA106" s="19"/>
      <c r="AB106" s="19"/>
      <c r="AC106" s="19"/>
      <c r="AD106" s="18"/>
      <c r="AE106" s="19"/>
      <c r="AF106" s="19"/>
      <c r="AG106" s="19"/>
      <c r="AH106" s="19"/>
      <c r="AI106" s="18"/>
      <c r="AJ106" s="19"/>
      <c r="AK106" s="19"/>
      <c r="AL106" s="19"/>
      <c r="AM106" s="19"/>
    </row>
    <row r="107" spans="1:39" s="2" customFormat="1" ht="78.75" hidden="1" outlineLevel="4" x14ac:dyDescent="0.25">
      <c r="A107" s="8" t="s">
        <v>894</v>
      </c>
      <c r="B107" s="118" t="s">
        <v>895</v>
      </c>
      <c r="C107" s="26" t="s">
        <v>32</v>
      </c>
      <c r="D107" s="26" t="s">
        <v>118</v>
      </c>
      <c r="E107" s="20">
        <f>H107</f>
        <v>412.3</v>
      </c>
      <c r="F107" s="38"/>
      <c r="G107" s="38"/>
      <c r="H107" s="38">
        <f>M107+R107+W107+AB107+AG107+AL107</f>
        <v>412.3</v>
      </c>
      <c r="I107" s="38"/>
      <c r="J107" s="18"/>
      <c r="K107" s="19"/>
      <c r="L107" s="19"/>
      <c r="M107" s="19"/>
      <c r="N107" s="19"/>
      <c r="O107" s="18"/>
      <c r="P107" s="19"/>
      <c r="Q107" s="19"/>
      <c r="R107" s="19"/>
      <c r="S107" s="19"/>
      <c r="T107" s="18">
        <f>W107</f>
        <v>412.3</v>
      </c>
      <c r="U107" s="19"/>
      <c r="V107" s="19"/>
      <c r="W107" s="19">
        <v>412.3</v>
      </c>
      <c r="X107" s="19"/>
      <c r="Y107" s="18"/>
      <c r="Z107" s="19"/>
      <c r="AA107" s="19"/>
      <c r="AB107" s="19"/>
      <c r="AC107" s="19"/>
      <c r="AD107" s="18"/>
      <c r="AE107" s="19"/>
      <c r="AF107" s="19"/>
      <c r="AG107" s="19"/>
      <c r="AH107" s="19"/>
      <c r="AI107" s="18"/>
      <c r="AJ107" s="19"/>
      <c r="AK107" s="19"/>
      <c r="AL107" s="19"/>
      <c r="AM107" s="19"/>
    </row>
    <row r="108" spans="1:39" s="2" customFormat="1" ht="78.75" hidden="1" outlineLevel="4" x14ac:dyDescent="0.25">
      <c r="A108" s="8" t="s">
        <v>976</v>
      </c>
      <c r="B108" s="118" t="s">
        <v>977</v>
      </c>
      <c r="C108" s="26" t="s">
        <v>32</v>
      </c>
      <c r="D108" s="26" t="s">
        <v>118</v>
      </c>
      <c r="E108" s="20">
        <f>H108</f>
        <v>74.7</v>
      </c>
      <c r="F108" s="38">
        <f t="shared" ref="F108:I108" si="103">K108+P108+U108+Z108+AE108+AJ108</f>
        <v>0</v>
      </c>
      <c r="G108" s="38">
        <f t="shared" si="103"/>
        <v>0</v>
      </c>
      <c r="H108" s="38">
        <f t="shared" si="103"/>
        <v>74.7</v>
      </c>
      <c r="I108" s="38">
        <f t="shared" si="103"/>
        <v>0</v>
      </c>
      <c r="J108" s="18">
        <f t="shared" ref="J108" si="104">SUM(K108:N108)</f>
        <v>0</v>
      </c>
      <c r="K108" s="19">
        <v>0</v>
      </c>
      <c r="L108" s="19">
        <v>0</v>
      </c>
      <c r="M108" s="19">
        <v>0</v>
      </c>
      <c r="N108" s="19">
        <v>0</v>
      </c>
      <c r="O108" s="18"/>
      <c r="P108" s="19"/>
      <c r="Q108" s="19">
        <v>0</v>
      </c>
      <c r="R108" s="19"/>
      <c r="S108" s="19">
        <v>0</v>
      </c>
      <c r="T108" s="18">
        <f>W108</f>
        <v>74.7</v>
      </c>
      <c r="U108" s="19">
        <v>0</v>
      </c>
      <c r="V108" s="19">
        <v>0</v>
      </c>
      <c r="W108" s="19">
        <v>74.7</v>
      </c>
      <c r="X108" s="19">
        <v>0</v>
      </c>
      <c r="Y108" s="18"/>
      <c r="Z108" s="19"/>
      <c r="AA108" s="19"/>
      <c r="AB108" s="19"/>
      <c r="AC108" s="19"/>
      <c r="AD108" s="18"/>
      <c r="AE108" s="19"/>
      <c r="AF108" s="19"/>
      <c r="AG108" s="19"/>
      <c r="AH108" s="19"/>
      <c r="AI108" s="18"/>
      <c r="AJ108" s="19"/>
      <c r="AK108" s="19"/>
      <c r="AL108" s="19"/>
      <c r="AM108" s="19"/>
    </row>
    <row r="109" spans="1:39" s="2" customFormat="1" ht="34.5" hidden="1" customHeight="1" outlineLevel="3" x14ac:dyDescent="0.25">
      <c r="A109" s="165" t="s">
        <v>762</v>
      </c>
      <c r="B109" s="205" t="s">
        <v>763</v>
      </c>
      <c r="C109" s="205"/>
      <c r="D109" s="194"/>
      <c r="E109" s="20">
        <f>SUM(E110:E111)</f>
        <v>1975.3</v>
      </c>
      <c r="F109" s="20">
        <f t="shared" ref="F109:Y109" si="105">SUM(F110:F111)</f>
        <v>0</v>
      </c>
      <c r="G109" s="20">
        <f t="shared" si="105"/>
        <v>0</v>
      </c>
      <c r="H109" s="20">
        <f t="shared" si="105"/>
        <v>1975.3</v>
      </c>
      <c r="I109" s="20">
        <f t="shared" si="105"/>
        <v>0</v>
      </c>
      <c r="J109" s="20">
        <f t="shared" si="105"/>
        <v>0</v>
      </c>
      <c r="K109" s="20">
        <f t="shared" si="105"/>
        <v>0</v>
      </c>
      <c r="L109" s="20">
        <f t="shared" si="105"/>
        <v>0</v>
      </c>
      <c r="M109" s="20">
        <f t="shared" si="105"/>
        <v>0</v>
      </c>
      <c r="N109" s="20">
        <f t="shared" si="105"/>
        <v>0</v>
      </c>
      <c r="O109" s="20">
        <f t="shared" si="105"/>
        <v>0</v>
      </c>
      <c r="P109" s="20">
        <f t="shared" si="105"/>
        <v>0</v>
      </c>
      <c r="Q109" s="20">
        <f t="shared" si="105"/>
        <v>0</v>
      </c>
      <c r="R109" s="20">
        <f t="shared" si="105"/>
        <v>0</v>
      </c>
      <c r="S109" s="20">
        <f t="shared" si="105"/>
        <v>0</v>
      </c>
      <c r="T109" s="20">
        <f t="shared" si="105"/>
        <v>1975.3</v>
      </c>
      <c r="U109" s="20">
        <f t="shared" si="105"/>
        <v>0</v>
      </c>
      <c r="V109" s="20">
        <f t="shared" si="105"/>
        <v>0</v>
      </c>
      <c r="W109" s="20">
        <f t="shared" si="105"/>
        <v>1975.3</v>
      </c>
      <c r="X109" s="20">
        <f t="shared" si="105"/>
        <v>0</v>
      </c>
      <c r="Y109" s="20">
        <f t="shared" si="105"/>
        <v>0</v>
      </c>
      <c r="Z109" s="20">
        <f t="shared" ref="Z109:AM109" si="106">SUM(Z110)</f>
        <v>0</v>
      </c>
      <c r="AA109" s="20">
        <f t="shared" si="106"/>
        <v>0</v>
      </c>
      <c r="AB109" s="20">
        <f t="shared" si="106"/>
        <v>0</v>
      </c>
      <c r="AC109" s="20">
        <f t="shared" si="106"/>
        <v>0</v>
      </c>
      <c r="AD109" s="20">
        <f t="shared" si="106"/>
        <v>0</v>
      </c>
      <c r="AE109" s="20">
        <f t="shared" si="106"/>
        <v>0</v>
      </c>
      <c r="AF109" s="20">
        <f t="shared" si="106"/>
        <v>0</v>
      </c>
      <c r="AG109" s="20">
        <f t="shared" si="106"/>
        <v>0</v>
      </c>
      <c r="AH109" s="20">
        <f t="shared" si="106"/>
        <v>0</v>
      </c>
      <c r="AI109" s="20">
        <f t="shared" si="106"/>
        <v>0</v>
      </c>
      <c r="AJ109" s="20">
        <f t="shared" si="106"/>
        <v>0</v>
      </c>
      <c r="AK109" s="20">
        <f t="shared" si="106"/>
        <v>0</v>
      </c>
      <c r="AL109" s="20">
        <f t="shared" si="106"/>
        <v>0</v>
      </c>
      <c r="AM109" s="20">
        <f t="shared" si="106"/>
        <v>0</v>
      </c>
    </row>
    <row r="110" spans="1:39" s="2" customFormat="1" ht="47.25" hidden="1" outlineLevel="4" x14ac:dyDescent="0.25">
      <c r="A110" s="8" t="s">
        <v>764</v>
      </c>
      <c r="B110" s="25" t="s">
        <v>765</v>
      </c>
      <c r="C110" s="26" t="s">
        <v>32</v>
      </c>
      <c r="D110" s="26" t="s">
        <v>118</v>
      </c>
      <c r="E110" s="20">
        <f>SUM(F110:I110)</f>
        <v>417.5</v>
      </c>
      <c r="F110" s="20">
        <f>K110</f>
        <v>0</v>
      </c>
      <c r="G110" s="38">
        <f>L110+Q110+V110+AA110+AF110+AK110</f>
        <v>0</v>
      </c>
      <c r="H110" s="38">
        <f>M110+R110+W110+AB110+AG110+AL110</f>
        <v>417.5</v>
      </c>
      <c r="I110" s="38">
        <f>N110+S110+X110+AC110+AH110+AM110</f>
        <v>0</v>
      </c>
      <c r="J110" s="18">
        <f>SUM(K110:N110)</f>
        <v>0</v>
      </c>
      <c r="K110" s="19">
        <v>0</v>
      </c>
      <c r="L110" s="19">
        <v>0</v>
      </c>
      <c r="M110" s="19">
        <v>0</v>
      </c>
      <c r="N110" s="19">
        <v>0</v>
      </c>
      <c r="O110" s="18">
        <f>SUM(P110:S110)</f>
        <v>0</v>
      </c>
      <c r="P110" s="19">
        <v>0</v>
      </c>
      <c r="Q110" s="19">
        <v>0</v>
      </c>
      <c r="R110" s="19">
        <v>0</v>
      </c>
      <c r="S110" s="19">
        <v>0</v>
      </c>
      <c r="T110" s="18">
        <f>SUM(U110:X110)</f>
        <v>417.5</v>
      </c>
      <c r="U110" s="19">
        <v>0</v>
      </c>
      <c r="V110" s="19">
        <v>0</v>
      </c>
      <c r="W110" s="19">
        <v>417.5</v>
      </c>
      <c r="X110" s="19">
        <v>0</v>
      </c>
      <c r="Y110" s="18">
        <f>SUM(Z110:AC110)</f>
        <v>0</v>
      </c>
      <c r="Z110" s="19">
        <v>0</v>
      </c>
      <c r="AA110" s="19">
        <v>0</v>
      </c>
      <c r="AB110" s="19">
        <v>0</v>
      </c>
      <c r="AC110" s="19">
        <v>0</v>
      </c>
      <c r="AD110" s="18">
        <f>SUM(AE110:AH110)</f>
        <v>0</v>
      </c>
      <c r="AE110" s="19">
        <v>0</v>
      </c>
      <c r="AF110" s="19">
        <v>0</v>
      </c>
      <c r="AG110" s="19">
        <v>0</v>
      </c>
      <c r="AH110" s="19">
        <v>0</v>
      </c>
      <c r="AI110" s="18">
        <f>SUM(AJ110:AM110)</f>
        <v>0</v>
      </c>
      <c r="AJ110" s="19">
        <v>0</v>
      </c>
      <c r="AK110" s="19">
        <v>0</v>
      </c>
      <c r="AL110" s="19">
        <v>0</v>
      </c>
      <c r="AM110" s="19">
        <v>0</v>
      </c>
    </row>
    <row r="111" spans="1:39" s="2" customFormat="1" ht="47.25" hidden="1" outlineLevel="4" x14ac:dyDescent="0.25">
      <c r="A111" s="8" t="s">
        <v>823</v>
      </c>
      <c r="B111" s="25" t="s">
        <v>973</v>
      </c>
      <c r="C111" s="26" t="s">
        <v>32</v>
      </c>
      <c r="D111" s="26" t="s">
        <v>118</v>
      </c>
      <c r="E111" s="20">
        <f>SUM(F111:I111)</f>
        <v>1557.8</v>
      </c>
      <c r="F111" s="20">
        <f>K111</f>
        <v>0</v>
      </c>
      <c r="G111" s="38">
        <f>L111+Q111+V111+AA111+AF111+AK111</f>
        <v>0</v>
      </c>
      <c r="H111" s="38">
        <f>M111+R111+W111+AB111+AG111+AL111</f>
        <v>1557.8</v>
      </c>
      <c r="I111" s="38"/>
      <c r="J111" s="18"/>
      <c r="K111" s="19"/>
      <c r="L111" s="19"/>
      <c r="M111" s="19"/>
      <c r="N111" s="19"/>
      <c r="O111" s="18"/>
      <c r="P111" s="19"/>
      <c r="Q111" s="19"/>
      <c r="R111" s="19"/>
      <c r="S111" s="19"/>
      <c r="T111" s="18">
        <f>SUM(U111:X111)</f>
        <v>1557.8</v>
      </c>
      <c r="U111" s="19"/>
      <c r="V111" s="19"/>
      <c r="W111" s="19">
        <f>794.5+763.3</f>
        <v>1557.8</v>
      </c>
      <c r="X111" s="19"/>
      <c r="Y111" s="18"/>
      <c r="Z111" s="19"/>
      <c r="AA111" s="19"/>
      <c r="AB111" s="19"/>
      <c r="AC111" s="19"/>
      <c r="AD111" s="18"/>
      <c r="AE111" s="19"/>
      <c r="AF111" s="19"/>
      <c r="AG111" s="19"/>
      <c r="AH111" s="19"/>
      <c r="AI111" s="18"/>
      <c r="AJ111" s="19"/>
      <c r="AK111" s="19"/>
      <c r="AL111" s="19"/>
      <c r="AM111" s="19"/>
    </row>
    <row r="112" spans="1:39" s="5" customFormat="1" ht="45.75" customHeight="1" x14ac:dyDescent="0.25">
      <c r="A112" s="165">
        <v>2</v>
      </c>
      <c r="B112" s="192" t="s">
        <v>411</v>
      </c>
      <c r="C112" s="193"/>
      <c r="D112" s="193"/>
      <c r="E112" s="18">
        <f>E113+E127+E131+E147+E189+E200+E205+E208</f>
        <v>313243.60398625158</v>
      </c>
      <c r="F112" s="18">
        <f t="shared" ref="F112:AM112" si="107">F113+F127+F131+F147+F189+F200+F205+F208</f>
        <v>0</v>
      </c>
      <c r="G112" s="18">
        <f t="shared" si="107"/>
        <v>68785.3</v>
      </c>
      <c r="H112" s="18">
        <f t="shared" si="107"/>
        <v>244458.30398625153</v>
      </c>
      <c r="I112" s="18">
        <f t="shared" si="107"/>
        <v>0</v>
      </c>
      <c r="J112" s="18">
        <f t="shared" si="107"/>
        <v>51234.900000000009</v>
      </c>
      <c r="K112" s="18">
        <f t="shared" si="107"/>
        <v>0</v>
      </c>
      <c r="L112" s="18">
        <f t="shared" si="107"/>
        <v>6177.8</v>
      </c>
      <c r="M112" s="18">
        <f t="shared" si="107"/>
        <v>45057.100000000006</v>
      </c>
      <c r="N112" s="18">
        <f t="shared" si="107"/>
        <v>0</v>
      </c>
      <c r="O112" s="18">
        <f t="shared" si="107"/>
        <v>29151.103986251528</v>
      </c>
      <c r="P112" s="18">
        <f t="shared" si="107"/>
        <v>0</v>
      </c>
      <c r="Q112" s="18">
        <f t="shared" si="107"/>
        <v>0</v>
      </c>
      <c r="R112" s="18">
        <f t="shared" si="107"/>
        <v>29151.103986251528</v>
      </c>
      <c r="S112" s="18">
        <f t="shared" si="107"/>
        <v>0</v>
      </c>
      <c r="T112" s="18">
        <f t="shared" si="107"/>
        <v>126315.00000000001</v>
      </c>
      <c r="U112" s="18">
        <f t="shared" si="107"/>
        <v>0</v>
      </c>
      <c r="V112" s="18">
        <f t="shared" si="107"/>
        <v>62607.5</v>
      </c>
      <c r="W112" s="18">
        <f t="shared" si="107"/>
        <v>63707.500000000007</v>
      </c>
      <c r="X112" s="18">
        <f t="shared" si="107"/>
        <v>0</v>
      </c>
      <c r="Y112" s="18">
        <f t="shared" si="107"/>
        <v>39626.699999999997</v>
      </c>
      <c r="Z112" s="18">
        <f t="shared" si="107"/>
        <v>0</v>
      </c>
      <c r="AA112" s="18">
        <f t="shared" si="107"/>
        <v>0</v>
      </c>
      <c r="AB112" s="18">
        <f t="shared" si="107"/>
        <v>39626.699999999997</v>
      </c>
      <c r="AC112" s="18">
        <f t="shared" si="107"/>
        <v>0</v>
      </c>
      <c r="AD112" s="18">
        <f t="shared" si="107"/>
        <v>40880.600000000006</v>
      </c>
      <c r="AE112" s="18">
        <f t="shared" si="107"/>
        <v>0</v>
      </c>
      <c r="AF112" s="18">
        <f t="shared" si="107"/>
        <v>0</v>
      </c>
      <c r="AG112" s="18">
        <f t="shared" si="107"/>
        <v>40880.600000000006</v>
      </c>
      <c r="AH112" s="18">
        <f t="shared" si="107"/>
        <v>0</v>
      </c>
      <c r="AI112" s="18">
        <f t="shared" si="107"/>
        <v>26035.300000000003</v>
      </c>
      <c r="AJ112" s="18">
        <f t="shared" si="107"/>
        <v>0</v>
      </c>
      <c r="AK112" s="18">
        <f t="shared" si="107"/>
        <v>0</v>
      </c>
      <c r="AL112" s="18">
        <f t="shared" si="107"/>
        <v>26035.300000000003</v>
      </c>
      <c r="AM112" s="18">
        <f t="shared" si="107"/>
        <v>0</v>
      </c>
    </row>
    <row r="113" spans="1:39" s="5" customFormat="1" ht="20.25" customHeight="1" outlineLevel="1" x14ac:dyDescent="0.25">
      <c r="A113" s="165" t="s">
        <v>145</v>
      </c>
      <c r="B113" s="194" t="s">
        <v>37</v>
      </c>
      <c r="C113" s="195"/>
      <c r="D113" s="195"/>
      <c r="E113" s="18">
        <f>SUM(E114:E126)</f>
        <v>20138.199999999997</v>
      </c>
      <c r="F113" s="18">
        <f t="shared" ref="F113:AM113" si="108">SUM(F114:F126)</f>
        <v>0</v>
      </c>
      <c r="G113" s="18">
        <f t="shared" si="108"/>
        <v>0</v>
      </c>
      <c r="H113" s="18">
        <f t="shared" si="108"/>
        <v>20138.199999999997</v>
      </c>
      <c r="I113" s="18">
        <f t="shared" si="108"/>
        <v>0</v>
      </c>
      <c r="J113" s="18">
        <f t="shared" si="108"/>
        <v>2743.8</v>
      </c>
      <c r="K113" s="18">
        <f t="shared" si="108"/>
        <v>0</v>
      </c>
      <c r="L113" s="18">
        <f t="shared" si="108"/>
        <v>0</v>
      </c>
      <c r="M113" s="18">
        <f t="shared" si="108"/>
        <v>2743.8</v>
      </c>
      <c r="N113" s="18">
        <f t="shared" si="108"/>
        <v>0</v>
      </c>
      <c r="O113" s="18">
        <f t="shared" si="108"/>
        <v>6381.2</v>
      </c>
      <c r="P113" s="18">
        <f t="shared" si="108"/>
        <v>0</v>
      </c>
      <c r="Q113" s="18">
        <f t="shared" si="108"/>
        <v>0</v>
      </c>
      <c r="R113" s="18">
        <f>SUM(R114:R126)</f>
        <v>6381.2</v>
      </c>
      <c r="S113" s="18">
        <f t="shared" si="108"/>
        <v>0</v>
      </c>
      <c r="T113" s="18">
        <f t="shared" si="108"/>
        <v>2657.5</v>
      </c>
      <c r="U113" s="18">
        <f t="shared" si="108"/>
        <v>0</v>
      </c>
      <c r="V113" s="18">
        <f t="shared" si="108"/>
        <v>0</v>
      </c>
      <c r="W113" s="18">
        <f t="shared" si="108"/>
        <v>2657.5</v>
      </c>
      <c r="X113" s="18">
        <f t="shared" si="108"/>
        <v>0</v>
      </c>
      <c r="Y113" s="18">
        <f t="shared" si="108"/>
        <v>2676.9</v>
      </c>
      <c r="Z113" s="18">
        <f t="shared" si="108"/>
        <v>0</v>
      </c>
      <c r="AA113" s="18">
        <f t="shared" si="108"/>
        <v>0</v>
      </c>
      <c r="AB113" s="18">
        <f t="shared" si="108"/>
        <v>2676.9</v>
      </c>
      <c r="AC113" s="18">
        <f t="shared" si="108"/>
        <v>0</v>
      </c>
      <c r="AD113" s="18">
        <f t="shared" si="108"/>
        <v>2783.8</v>
      </c>
      <c r="AE113" s="18">
        <f t="shared" si="108"/>
        <v>0</v>
      </c>
      <c r="AF113" s="18">
        <f t="shared" si="108"/>
        <v>0</v>
      </c>
      <c r="AG113" s="18">
        <f t="shared" si="108"/>
        <v>2783.8</v>
      </c>
      <c r="AH113" s="18">
        <f t="shared" si="108"/>
        <v>0</v>
      </c>
      <c r="AI113" s="18">
        <f t="shared" si="108"/>
        <v>2894.9999999999995</v>
      </c>
      <c r="AJ113" s="18">
        <f t="shared" si="108"/>
        <v>0</v>
      </c>
      <c r="AK113" s="18">
        <f t="shared" si="108"/>
        <v>0</v>
      </c>
      <c r="AL113" s="18">
        <f t="shared" si="108"/>
        <v>2894.9999999999995</v>
      </c>
      <c r="AM113" s="18">
        <f t="shared" si="108"/>
        <v>0</v>
      </c>
    </row>
    <row r="114" spans="1:39" s="2" customFormat="1" ht="31.5" outlineLevel="2" x14ac:dyDescent="0.25">
      <c r="A114" s="8" t="s">
        <v>146</v>
      </c>
      <c r="B114" s="25" t="s">
        <v>59</v>
      </c>
      <c r="C114" s="26" t="s">
        <v>32</v>
      </c>
      <c r="D114" s="26" t="s">
        <v>118</v>
      </c>
      <c r="E114" s="20">
        <f t="shared" ref="E114:E126" si="109">SUM(F114:I114)</f>
        <v>297.90000000000003</v>
      </c>
      <c r="F114" s="38">
        <f t="shared" ref="F114:F126" si="110">K114+P114+U114</f>
        <v>0</v>
      </c>
      <c r="G114" s="38">
        <f t="shared" ref="G114:I133" si="111">L114+Q114+V114+AA114+AF114+AK114</f>
        <v>0</v>
      </c>
      <c r="H114" s="38">
        <f t="shared" si="111"/>
        <v>297.90000000000003</v>
      </c>
      <c r="I114" s="38">
        <f t="shared" si="111"/>
        <v>0</v>
      </c>
      <c r="J114" s="18">
        <f t="shared" ref="J114:J126" si="112">SUM(K114:N114)</f>
        <v>44.9</v>
      </c>
      <c r="K114" s="19">
        <v>0</v>
      </c>
      <c r="L114" s="19">
        <v>0</v>
      </c>
      <c r="M114" s="19">
        <v>44.9</v>
      </c>
      <c r="N114" s="19">
        <v>0</v>
      </c>
      <c r="O114" s="18">
        <f t="shared" ref="O114:O126" si="113">SUM(P114:S114)</f>
        <v>46.7</v>
      </c>
      <c r="P114" s="19">
        <v>0</v>
      </c>
      <c r="Q114" s="19">
        <v>0</v>
      </c>
      <c r="R114" s="19">
        <v>46.7</v>
      </c>
      <c r="S114" s="19">
        <v>0</v>
      </c>
      <c r="T114" s="18">
        <f t="shared" ref="T114:T126" si="114">SUM(U114:X114)</f>
        <v>48.7</v>
      </c>
      <c r="U114" s="19">
        <v>0</v>
      </c>
      <c r="V114" s="19">
        <v>0</v>
      </c>
      <c r="W114" s="19">
        <v>48.7</v>
      </c>
      <c r="X114" s="19">
        <v>0</v>
      </c>
      <c r="Y114" s="18">
        <f t="shared" ref="Y114:Y126" si="115">SUM(Z114:AC114)</f>
        <v>50.5</v>
      </c>
      <c r="Z114" s="19">
        <v>0</v>
      </c>
      <c r="AA114" s="19">
        <v>0</v>
      </c>
      <c r="AB114" s="19">
        <v>50.5</v>
      </c>
      <c r="AC114" s="19">
        <v>0</v>
      </c>
      <c r="AD114" s="18">
        <f t="shared" ref="AD114:AD126" si="116">SUM(AE114:AH114)</f>
        <v>52.5</v>
      </c>
      <c r="AE114" s="19">
        <v>0</v>
      </c>
      <c r="AF114" s="19">
        <v>0</v>
      </c>
      <c r="AG114" s="108">
        <v>52.5</v>
      </c>
      <c r="AH114" s="19">
        <v>0</v>
      </c>
      <c r="AI114" s="18">
        <f t="shared" ref="AI114:AI126" si="117">SUM(AJ114:AM114)</f>
        <v>54.6</v>
      </c>
      <c r="AJ114" s="19">
        <v>0</v>
      </c>
      <c r="AK114" s="19">
        <v>0</v>
      </c>
      <c r="AL114" s="108">
        <v>54.6</v>
      </c>
      <c r="AM114" s="19">
        <v>0</v>
      </c>
    </row>
    <row r="115" spans="1:39" s="2" customFormat="1" ht="31.5" outlineLevel="2" x14ac:dyDescent="0.25">
      <c r="A115" s="8" t="s">
        <v>147</v>
      </c>
      <c r="B115" s="25" t="s">
        <v>49</v>
      </c>
      <c r="C115" s="26" t="s">
        <v>32</v>
      </c>
      <c r="D115" s="26" t="s">
        <v>118</v>
      </c>
      <c r="E115" s="20">
        <f t="shared" si="109"/>
        <v>1521.1999999999998</v>
      </c>
      <c r="F115" s="38">
        <f t="shared" si="110"/>
        <v>0</v>
      </c>
      <c r="G115" s="38">
        <f t="shared" si="111"/>
        <v>0</v>
      </c>
      <c r="H115" s="38">
        <f t="shared" si="111"/>
        <v>1521.1999999999998</v>
      </c>
      <c r="I115" s="38">
        <f t="shared" si="111"/>
        <v>0</v>
      </c>
      <c r="J115" s="18">
        <f t="shared" si="112"/>
        <v>140.80000000000001</v>
      </c>
      <c r="K115" s="19">
        <v>0</v>
      </c>
      <c r="L115" s="19">
        <v>0</v>
      </c>
      <c r="M115" s="19">
        <v>140.80000000000001</v>
      </c>
      <c r="N115" s="19">
        <v>0</v>
      </c>
      <c r="O115" s="18">
        <f t="shared" si="113"/>
        <v>776.8</v>
      </c>
      <c r="P115" s="19">
        <v>0</v>
      </c>
      <c r="Q115" s="19">
        <v>0</v>
      </c>
      <c r="R115" s="45">
        <f>146.4+630.4</f>
        <v>776.8</v>
      </c>
      <c r="S115" s="19">
        <v>0</v>
      </c>
      <c r="T115" s="18">
        <f t="shared" si="114"/>
        <v>110.1</v>
      </c>
      <c r="U115" s="19">
        <v>0</v>
      </c>
      <c r="V115" s="19">
        <v>0</v>
      </c>
      <c r="W115" s="19">
        <f>152.5-42.4</f>
        <v>110.1</v>
      </c>
      <c r="X115" s="19">
        <v>0</v>
      </c>
      <c r="Y115" s="18">
        <f t="shared" si="115"/>
        <v>158.1</v>
      </c>
      <c r="Z115" s="19">
        <v>0</v>
      </c>
      <c r="AA115" s="19">
        <v>0</v>
      </c>
      <c r="AB115" s="19">
        <v>158.1</v>
      </c>
      <c r="AC115" s="19">
        <v>0</v>
      </c>
      <c r="AD115" s="18">
        <f t="shared" si="116"/>
        <v>164.4</v>
      </c>
      <c r="AE115" s="19">
        <v>0</v>
      </c>
      <c r="AF115" s="19">
        <v>0</v>
      </c>
      <c r="AG115" s="108">
        <v>164.4</v>
      </c>
      <c r="AH115" s="19">
        <v>0</v>
      </c>
      <c r="AI115" s="18">
        <f t="shared" si="117"/>
        <v>171</v>
      </c>
      <c r="AJ115" s="19">
        <v>0</v>
      </c>
      <c r="AK115" s="19">
        <v>0</v>
      </c>
      <c r="AL115" s="107">
        <v>171</v>
      </c>
      <c r="AM115" s="19">
        <v>0</v>
      </c>
    </row>
    <row r="116" spans="1:39" s="2" customFormat="1" ht="31.5" outlineLevel="2" x14ac:dyDescent="0.25">
      <c r="A116" s="8" t="s">
        <v>148</v>
      </c>
      <c r="B116" s="25" t="s">
        <v>50</v>
      </c>
      <c r="C116" s="26" t="s">
        <v>32</v>
      </c>
      <c r="D116" s="26" t="s">
        <v>118</v>
      </c>
      <c r="E116" s="20">
        <f t="shared" si="109"/>
        <v>133.30000000000001</v>
      </c>
      <c r="F116" s="38">
        <f t="shared" si="110"/>
        <v>0</v>
      </c>
      <c r="G116" s="38">
        <f t="shared" si="111"/>
        <v>0</v>
      </c>
      <c r="H116" s="38">
        <f t="shared" si="111"/>
        <v>133.30000000000001</v>
      </c>
      <c r="I116" s="38">
        <f t="shared" si="111"/>
        <v>0</v>
      </c>
      <c r="J116" s="18">
        <f t="shared" si="112"/>
        <v>20.100000000000001</v>
      </c>
      <c r="K116" s="19">
        <v>0</v>
      </c>
      <c r="L116" s="19">
        <v>0</v>
      </c>
      <c r="M116" s="19">
        <v>20.100000000000001</v>
      </c>
      <c r="N116" s="19">
        <v>0</v>
      </c>
      <c r="O116" s="18">
        <f t="shared" si="113"/>
        <v>20.9</v>
      </c>
      <c r="P116" s="19">
        <v>0</v>
      </c>
      <c r="Q116" s="19">
        <v>0</v>
      </c>
      <c r="R116" s="19">
        <v>20.9</v>
      </c>
      <c r="S116" s="19">
        <v>0</v>
      </c>
      <c r="T116" s="18">
        <f t="shared" si="114"/>
        <v>21.8</v>
      </c>
      <c r="U116" s="19">
        <v>0</v>
      </c>
      <c r="V116" s="19">
        <v>0</v>
      </c>
      <c r="W116" s="19">
        <v>21.8</v>
      </c>
      <c r="X116" s="19">
        <v>0</v>
      </c>
      <c r="Y116" s="18">
        <f t="shared" si="115"/>
        <v>22.6</v>
      </c>
      <c r="Z116" s="19">
        <v>0</v>
      </c>
      <c r="AA116" s="19">
        <v>0</v>
      </c>
      <c r="AB116" s="19">
        <v>22.6</v>
      </c>
      <c r="AC116" s="19">
        <v>0</v>
      </c>
      <c r="AD116" s="18">
        <f t="shared" si="116"/>
        <v>23.5</v>
      </c>
      <c r="AE116" s="19">
        <v>0</v>
      </c>
      <c r="AF116" s="19">
        <v>0</v>
      </c>
      <c r="AG116" s="108">
        <v>23.5</v>
      </c>
      <c r="AH116" s="19">
        <v>0</v>
      </c>
      <c r="AI116" s="18">
        <f t="shared" si="117"/>
        <v>24.4</v>
      </c>
      <c r="AJ116" s="19">
        <v>0</v>
      </c>
      <c r="AK116" s="19">
        <v>0</v>
      </c>
      <c r="AL116" s="108">
        <v>24.4</v>
      </c>
      <c r="AM116" s="19">
        <v>0</v>
      </c>
    </row>
    <row r="117" spans="1:39" s="2" customFormat="1" ht="31.5" outlineLevel="2" x14ac:dyDescent="0.25">
      <c r="A117" s="8" t="s">
        <v>149</v>
      </c>
      <c r="B117" s="25" t="s">
        <v>51</v>
      </c>
      <c r="C117" s="26" t="s">
        <v>32</v>
      </c>
      <c r="D117" s="26" t="s">
        <v>118</v>
      </c>
      <c r="E117" s="20">
        <f t="shared" si="109"/>
        <v>2789.7</v>
      </c>
      <c r="F117" s="38">
        <f t="shared" si="110"/>
        <v>0</v>
      </c>
      <c r="G117" s="38">
        <f t="shared" si="111"/>
        <v>0</v>
      </c>
      <c r="H117" s="38">
        <f t="shared" si="111"/>
        <v>2789.7</v>
      </c>
      <c r="I117" s="38">
        <f t="shared" si="111"/>
        <v>0</v>
      </c>
      <c r="J117" s="18">
        <f t="shared" si="112"/>
        <v>315.7</v>
      </c>
      <c r="K117" s="19">
        <v>0</v>
      </c>
      <c r="L117" s="19">
        <v>0</v>
      </c>
      <c r="M117" s="19">
        <v>315.7</v>
      </c>
      <c r="N117" s="19">
        <v>0</v>
      </c>
      <c r="O117" s="18">
        <f t="shared" si="113"/>
        <v>993.9</v>
      </c>
      <c r="P117" s="19">
        <v>0</v>
      </c>
      <c r="Q117" s="19">
        <v>0</v>
      </c>
      <c r="R117" s="19">
        <v>993.9</v>
      </c>
      <c r="S117" s="19">
        <v>0</v>
      </c>
      <c r="T117" s="18">
        <f t="shared" si="114"/>
        <v>372.5</v>
      </c>
      <c r="U117" s="19">
        <v>0</v>
      </c>
      <c r="V117" s="19">
        <v>0</v>
      </c>
      <c r="W117" s="19">
        <f>30.4+342.1</f>
        <v>372.5</v>
      </c>
      <c r="X117" s="19">
        <v>0</v>
      </c>
      <c r="Y117" s="18">
        <f t="shared" si="115"/>
        <v>354.8</v>
      </c>
      <c r="Z117" s="19">
        <v>0</v>
      </c>
      <c r="AA117" s="19">
        <v>0</v>
      </c>
      <c r="AB117" s="19">
        <v>354.8</v>
      </c>
      <c r="AC117" s="19">
        <v>0</v>
      </c>
      <c r="AD117" s="18">
        <f t="shared" si="116"/>
        <v>369</v>
      </c>
      <c r="AE117" s="19">
        <v>0</v>
      </c>
      <c r="AF117" s="19">
        <v>0</v>
      </c>
      <c r="AG117" s="107">
        <v>369</v>
      </c>
      <c r="AH117" s="19">
        <v>0</v>
      </c>
      <c r="AI117" s="18">
        <f t="shared" si="117"/>
        <v>383.8</v>
      </c>
      <c r="AJ117" s="19">
        <v>0</v>
      </c>
      <c r="AK117" s="19">
        <v>0</v>
      </c>
      <c r="AL117" s="108">
        <v>383.8</v>
      </c>
      <c r="AM117" s="19">
        <v>0</v>
      </c>
    </row>
    <row r="118" spans="1:39" s="2" customFormat="1" ht="31.5" outlineLevel="2" x14ac:dyDescent="0.25">
      <c r="A118" s="8" t="s">
        <v>150</v>
      </c>
      <c r="B118" s="25" t="s">
        <v>52</v>
      </c>
      <c r="C118" s="26" t="s">
        <v>32</v>
      </c>
      <c r="D118" s="26" t="s">
        <v>118</v>
      </c>
      <c r="E118" s="20">
        <f t="shared" si="109"/>
        <v>1573.3000000000002</v>
      </c>
      <c r="F118" s="38">
        <f t="shared" si="110"/>
        <v>0</v>
      </c>
      <c r="G118" s="38">
        <f t="shared" si="111"/>
        <v>0</v>
      </c>
      <c r="H118" s="38">
        <f t="shared" si="111"/>
        <v>1573.3000000000002</v>
      </c>
      <c r="I118" s="38">
        <f t="shared" si="111"/>
        <v>0</v>
      </c>
      <c r="J118" s="18">
        <f t="shared" si="112"/>
        <v>237.2</v>
      </c>
      <c r="K118" s="19">
        <v>0</v>
      </c>
      <c r="L118" s="19">
        <v>0</v>
      </c>
      <c r="M118" s="19">
        <v>237.2</v>
      </c>
      <c r="N118" s="19">
        <v>0</v>
      </c>
      <c r="O118" s="18">
        <f t="shared" si="113"/>
        <v>246.7</v>
      </c>
      <c r="P118" s="19">
        <v>0</v>
      </c>
      <c r="Q118" s="19">
        <v>0</v>
      </c>
      <c r="R118" s="19">
        <v>246.7</v>
      </c>
      <c r="S118" s="19">
        <v>0</v>
      </c>
      <c r="T118" s="18">
        <f t="shared" si="114"/>
        <v>257.10000000000002</v>
      </c>
      <c r="U118" s="19">
        <v>0</v>
      </c>
      <c r="V118" s="19">
        <v>0</v>
      </c>
      <c r="W118" s="19">
        <v>257.10000000000002</v>
      </c>
      <c r="X118" s="19">
        <v>0</v>
      </c>
      <c r="Y118" s="18">
        <f t="shared" si="115"/>
        <v>266.60000000000002</v>
      </c>
      <c r="Z118" s="19">
        <v>0</v>
      </c>
      <c r="AA118" s="19">
        <v>0</v>
      </c>
      <c r="AB118" s="19">
        <v>266.60000000000002</v>
      </c>
      <c r="AC118" s="19">
        <v>0</v>
      </c>
      <c r="AD118" s="18">
        <f t="shared" si="116"/>
        <v>277.3</v>
      </c>
      <c r="AE118" s="19">
        <v>0</v>
      </c>
      <c r="AF118" s="19">
        <v>0</v>
      </c>
      <c r="AG118" s="108">
        <v>277.3</v>
      </c>
      <c r="AH118" s="19">
        <v>0</v>
      </c>
      <c r="AI118" s="18">
        <f t="shared" si="117"/>
        <v>288.39999999999998</v>
      </c>
      <c r="AJ118" s="19">
        <v>0</v>
      </c>
      <c r="AK118" s="19">
        <v>0</v>
      </c>
      <c r="AL118" s="108">
        <v>288.39999999999998</v>
      </c>
      <c r="AM118" s="19">
        <v>0</v>
      </c>
    </row>
    <row r="119" spans="1:39" s="2" customFormat="1" ht="31.5" outlineLevel="2" x14ac:dyDescent="0.25">
      <c r="A119" s="8" t="s">
        <v>151</v>
      </c>
      <c r="B119" s="25" t="s">
        <v>64</v>
      </c>
      <c r="C119" s="26" t="s">
        <v>32</v>
      </c>
      <c r="D119" s="26" t="s">
        <v>118</v>
      </c>
      <c r="E119" s="20">
        <f t="shared" si="109"/>
        <v>4366.1000000000004</v>
      </c>
      <c r="F119" s="38">
        <f t="shared" si="110"/>
        <v>0</v>
      </c>
      <c r="G119" s="38">
        <f t="shared" si="111"/>
        <v>0</v>
      </c>
      <c r="H119" s="38">
        <f t="shared" si="111"/>
        <v>4366.1000000000004</v>
      </c>
      <c r="I119" s="38">
        <f t="shared" si="111"/>
        <v>0</v>
      </c>
      <c r="J119" s="18">
        <f t="shared" si="112"/>
        <v>649.29999999999995</v>
      </c>
      <c r="K119" s="19">
        <v>0</v>
      </c>
      <c r="L119" s="19">
        <v>0</v>
      </c>
      <c r="M119" s="19">
        <f>119.5+287.7+242.1</f>
        <v>649.29999999999995</v>
      </c>
      <c r="N119" s="19">
        <v>0</v>
      </c>
      <c r="O119" s="18">
        <f t="shared" si="113"/>
        <v>2395.8999999999996</v>
      </c>
      <c r="P119" s="19">
        <v>0</v>
      </c>
      <c r="Q119" s="19">
        <v>0</v>
      </c>
      <c r="R119" s="19">
        <f>299.2+2000+96.7</f>
        <v>2395.8999999999996</v>
      </c>
      <c r="S119" s="19">
        <v>0</v>
      </c>
      <c r="T119" s="18">
        <f t="shared" si="114"/>
        <v>311.8</v>
      </c>
      <c r="U119" s="19">
        <v>0</v>
      </c>
      <c r="V119" s="19">
        <v>0</v>
      </c>
      <c r="W119" s="19">
        <v>311.8</v>
      </c>
      <c r="X119" s="19">
        <v>0</v>
      </c>
      <c r="Y119" s="18">
        <f t="shared" si="115"/>
        <v>323.3</v>
      </c>
      <c r="Z119" s="19">
        <v>0</v>
      </c>
      <c r="AA119" s="19">
        <v>0</v>
      </c>
      <c r="AB119" s="19">
        <v>323.3</v>
      </c>
      <c r="AC119" s="19">
        <v>0</v>
      </c>
      <c r="AD119" s="18">
        <f t="shared" si="116"/>
        <v>336.2</v>
      </c>
      <c r="AE119" s="19">
        <v>0</v>
      </c>
      <c r="AF119" s="19">
        <v>0</v>
      </c>
      <c r="AG119" s="108">
        <v>336.2</v>
      </c>
      <c r="AH119" s="19">
        <v>0</v>
      </c>
      <c r="AI119" s="18">
        <f t="shared" si="117"/>
        <v>349.6</v>
      </c>
      <c r="AJ119" s="19">
        <v>0</v>
      </c>
      <c r="AK119" s="19">
        <v>0</v>
      </c>
      <c r="AL119" s="108">
        <v>349.6</v>
      </c>
      <c r="AM119" s="19">
        <v>0</v>
      </c>
    </row>
    <row r="120" spans="1:39" s="2" customFormat="1" ht="31.5" outlineLevel="2" x14ac:dyDescent="0.25">
      <c r="A120" s="8" t="s">
        <v>152</v>
      </c>
      <c r="B120" s="25" t="s">
        <v>53</v>
      </c>
      <c r="C120" s="26" t="s">
        <v>32</v>
      </c>
      <c r="D120" s="26" t="s">
        <v>118</v>
      </c>
      <c r="E120" s="20">
        <f t="shared" si="109"/>
        <v>2747.4</v>
      </c>
      <c r="F120" s="38">
        <f t="shared" si="110"/>
        <v>0</v>
      </c>
      <c r="G120" s="38">
        <f t="shared" si="111"/>
        <v>0</v>
      </c>
      <c r="H120" s="38">
        <f t="shared" si="111"/>
        <v>2747.4</v>
      </c>
      <c r="I120" s="38">
        <f t="shared" si="111"/>
        <v>0</v>
      </c>
      <c r="J120" s="18">
        <f t="shared" si="112"/>
        <v>332.4</v>
      </c>
      <c r="K120" s="19">
        <v>0</v>
      </c>
      <c r="L120" s="19">
        <v>0</v>
      </c>
      <c r="M120" s="19">
        <v>332.4</v>
      </c>
      <c r="N120" s="19">
        <v>0</v>
      </c>
      <c r="O120" s="18">
        <f t="shared" si="113"/>
        <v>889</v>
      </c>
      <c r="P120" s="19">
        <v>0</v>
      </c>
      <c r="Q120" s="19">
        <v>0</v>
      </c>
      <c r="R120" s="19">
        <f>345.7+543.3</f>
        <v>889</v>
      </c>
      <c r="S120" s="19">
        <v>0</v>
      </c>
      <c r="T120" s="18">
        <f t="shared" si="114"/>
        <v>360.2</v>
      </c>
      <c r="U120" s="19">
        <v>0</v>
      </c>
      <c r="V120" s="19">
        <v>0</v>
      </c>
      <c r="W120" s="19">
        <v>360.2</v>
      </c>
      <c r="X120" s="19">
        <v>0</v>
      </c>
      <c r="Y120" s="18">
        <f t="shared" si="115"/>
        <v>373.5</v>
      </c>
      <c r="Z120" s="19">
        <v>0</v>
      </c>
      <c r="AA120" s="19">
        <v>0</v>
      </c>
      <c r="AB120" s="19">
        <v>373.5</v>
      </c>
      <c r="AC120" s="19">
        <v>0</v>
      </c>
      <c r="AD120" s="18">
        <f t="shared" si="116"/>
        <v>388.4</v>
      </c>
      <c r="AE120" s="19">
        <v>0</v>
      </c>
      <c r="AF120" s="19">
        <v>0</v>
      </c>
      <c r="AG120" s="108">
        <v>388.4</v>
      </c>
      <c r="AH120" s="19">
        <v>0</v>
      </c>
      <c r="AI120" s="18">
        <f t="shared" si="117"/>
        <v>403.9</v>
      </c>
      <c r="AJ120" s="19">
        <v>0</v>
      </c>
      <c r="AK120" s="19">
        <v>0</v>
      </c>
      <c r="AL120" s="108">
        <v>403.9</v>
      </c>
      <c r="AM120" s="19">
        <v>0</v>
      </c>
    </row>
    <row r="121" spans="1:39" s="2" customFormat="1" ht="31.5" outlineLevel="2" x14ac:dyDescent="0.25">
      <c r="A121" s="8" t="s">
        <v>153</v>
      </c>
      <c r="B121" s="25" t="s">
        <v>60</v>
      </c>
      <c r="C121" s="26" t="s">
        <v>32</v>
      </c>
      <c r="D121" s="26" t="s">
        <v>118</v>
      </c>
      <c r="E121" s="20">
        <f t="shared" si="109"/>
        <v>297.90000000000003</v>
      </c>
      <c r="F121" s="38">
        <f t="shared" si="110"/>
        <v>0</v>
      </c>
      <c r="G121" s="38">
        <f t="shared" si="111"/>
        <v>0</v>
      </c>
      <c r="H121" s="38">
        <f t="shared" si="111"/>
        <v>297.90000000000003</v>
      </c>
      <c r="I121" s="38">
        <f t="shared" si="111"/>
        <v>0</v>
      </c>
      <c r="J121" s="18">
        <f t="shared" si="112"/>
        <v>44.9</v>
      </c>
      <c r="K121" s="19">
        <v>0</v>
      </c>
      <c r="L121" s="19">
        <v>0</v>
      </c>
      <c r="M121" s="19">
        <v>44.9</v>
      </c>
      <c r="N121" s="19">
        <v>0</v>
      </c>
      <c r="O121" s="18">
        <f t="shared" si="113"/>
        <v>46.7</v>
      </c>
      <c r="P121" s="19">
        <v>0</v>
      </c>
      <c r="Q121" s="19">
        <v>0</v>
      </c>
      <c r="R121" s="19">
        <v>46.7</v>
      </c>
      <c r="S121" s="19">
        <v>0</v>
      </c>
      <c r="T121" s="18">
        <f t="shared" si="114"/>
        <v>48.7</v>
      </c>
      <c r="U121" s="19">
        <v>0</v>
      </c>
      <c r="V121" s="19">
        <v>0</v>
      </c>
      <c r="W121" s="19">
        <v>48.7</v>
      </c>
      <c r="X121" s="19">
        <v>0</v>
      </c>
      <c r="Y121" s="18">
        <f t="shared" si="115"/>
        <v>50.5</v>
      </c>
      <c r="Z121" s="19">
        <v>0</v>
      </c>
      <c r="AA121" s="19">
        <v>0</v>
      </c>
      <c r="AB121" s="19">
        <v>50.5</v>
      </c>
      <c r="AC121" s="19">
        <v>0</v>
      </c>
      <c r="AD121" s="18">
        <f t="shared" si="116"/>
        <v>52.5</v>
      </c>
      <c r="AE121" s="19">
        <v>0</v>
      </c>
      <c r="AF121" s="19">
        <v>0</v>
      </c>
      <c r="AG121" s="108">
        <v>52.5</v>
      </c>
      <c r="AH121" s="19">
        <v>0</v>
      </c>
      <c r="AI121" s="18">
        <f t="shared" si="117"/>
        <v>54.6</v>
      </c>
      <c r="AJ121" s="19">
        <v>0</v>
      </c>
      <c r="AK121" s="19">
        <v>0</v>
      </c>
      <c r="AL121" s="108">
        <v>54.6</v>
      </c>
      <c r="AM121" s="19">
        <v>0</v>
      </c>
    </row>
    <row r="122" spans="1:39" s="2" customFormat="1" ht="31.5" outlineLevel="2" x14ac:dyDescent="0.25">
      <c r="A122" s="8" t="s">
        <v>154</v>
      </c>
      <c r="B122" s="25" t="s">
        <v>54</v>
      </c>
      <c r="C122" s="26" t="s">
        <v>32</v>
      </c>
      <c r="D122" s="26" t="s">
        <v>118</v>
      </c>
      <c r="E122" s="20">
        <f t="shared" si="109"/>
        <v>1490.9</v>
      </c>
      <c r="F122" s="38">
        <f t="shared" si="110"/>
        <v>0</v>
      </c>
      <c r="G122" s="38">
        <f t="shared" si="111"/>
        <v>0</v>
      </c>
      <c r="H122" s="38">
        <f t="shared" si="111"/>
        <v>1490.9</v>
      </c>
      <c r="I122" s="38">
        <f t="shared" si="111"/>
        <v>0</v>
      </c>
      <c r="J122" s="18">
        <f t="shared" si="112"/>
        <v>229.7</v>
      </c>
      <c r="K122" s="19">
        <v>0</v>
      </c>
      <c r="L122" s="19">
        <v>0</v>
      </c>
      <c r="M122" s="19">
        <v>229.7</v>
      </c>
      <c r="N122" s="19">
        <v>0</v>
      </c>
      <c r="O122" s="18">
        <f t="shared" si="113"/>
        <v>206.7</v>
      </c>
      <c r="P122" s="19">
        <v>0</v>
      </c>
      <c r="Q122" s="19">
        <v>0</v>
      </c>
      <c r="R122" s="19">
        <f>238.9-32.2</f>
        <v>206.7</v>
      </c>
      <c r="S122" s="19">
        <v>0</v>
      </c>
      <c r="T122" s="18">
        <f t="shared" si="114"/>
        <v>248.9</v>
      </c>
      <c r="U122" s="19">
        <v>0</v>
      </c>
      <c r="V122" s="19">
        <v>0</v>
      </c>
      <c r="W122" s="19">
        <v>248.9</v>
      </c>
      <c r="X122" s="19">
        <v>0</v>
      </c>
      <c r="Y122" s="18">
        <f t="shared" si="115"/>
        <v>258.10000000000002</v>
      </c>
      <c r="Z122" s="19">
        <v>0</v>
      </c>
      <c r="AA122" s="19">
        <v>0</v>
      </c>
      <c r="AB122" s="19">
        <v>258.10000000000002</v>
      </c>
      <c r="AC122" s="19">
        <v>0</v>
      </c>
      <c r="AD122" s="18">
        <f t="shared" si="116"/>
        <v>268.39999999999998</v>
      </c>
      <c r="AE122" s="19">
        <v>0</v>
      </c>
      <c r="AF122" s="19">
        <v>0</v>
      </c>
      <c r="AG122" s="108">
        <v>268.39999999999998</v>
      </c>
      <c r="AH122" s="19">
        <v>0</v>
      </c>
      <c r="AI122" s="18">
        <f t="shared" si="117"/>
        <v>279.10000000000002</v>
      </c>
      <c r="AJ122" s="19">
        <v>0</v>
      </c>
      <c r="AK122" s="19">
        <v>0</v>
      </c>
      <c r="AL122" s="108">
        <v>279.10000000000002</v>
      </c>
      <c r="AM122" s="19">
        <v>0</v>
      </c>
    </row>
    <row r="123" spans="1:39" s="2" customFormat="1" ht="31.5" outlineLevel="2" x14ac:dyDescent="0.25">
      <c r="A123" s="8" t="s">
        <v>155</v>
      </c>
      <c r="B123" s="25" t="s">
        <v>55</v>
      </c>
      <c r="C123" s="26" t="s">
        <v>32</v>
      </c>
      <c r="D123" s="26" t="s">
        <v>118</v>
      </c>
      <c r="E123" s="20">
        <f t="shared" si="109"/>
        <v>1244.5999999999999</v>
      </c>
      <c r="F123" s="38">
        <f t="shared" si="110"/>
        <v>0</v>
      </c>
      <c r="G123" s="38">
        <f t="shared" si="111"/>
        <v>0</v>
      </c>
      <c r="H123" s="38">
        <f t="shared" si="111"/>
        <v>1244.5999999999999</v>
      </c>
      <c r="I123" s="38">
        <f t="shared" si="111"/>
        <v>0</v>
      </c>
      <c r="J123" s="18">
        <f t="shared" si="112"/>
        <v>187.7</v>
      </c>
      <c r="K123" s="19">
        <v>0</v>
      </c>
      <c r="L123" s="19">
        <v>0</v>
      </c>
      <c r="M123" s="19">
        <v>187.7</v>
      </c>
      <c r="N123" s="19">
        <v>0</v>
      </c>
      <c r="O123" s="18">
        <f t="shared" si="113"/>
        <v>195.2</v>
      </c>
      <c r="P123" s="19">
        <v>0</v>
      </c>
      <c r="Q123" s="19">
        <v>0</v>
      </c>
      <c r="R123" s="19">
        <v>195.2</v>
      </c>
      <c r="S123" s="19">
        <v>0</v>
      </c>
      <c r="T123" s="18">
        <f t="shared" si="114"/>
        <v>203.4</v>
      </c>
      <c r="U123" s="19">
        <v>0</v>
      </c>
      <c r="V123" s="19">
        <v>0</v>
      </c>
      <c r="W123" s="19">
        <v>203.4</v>
      </c>
      <c r="X123" s="19">
        <v>0</v>
      </c>
      <c r="Y123" s="18">
        <f t="shared" si="115"/>
        <v>210.9</v>
      </c>
      <c r="Z123" s="19">
        <v>0</v>
      </c>
      <c r="AA123" s="19">
        <v>0</v>
      </c>
      <c r="AB123" s="19">
        <v>210.9</v>
      </c>
      <c r="AC123" s="19">
        <v>0</v>
      </c>
      <c r="AD123" s="18">
        <f t="shared" si="116"/>
        <v>219.3</v>
      </c>
      <c r="AE123" s="19">
        <v>0</v>
      </c>
      <c r="AF123" s="19">
        <v>0</v>
      </c>
      <c r="AG123" s="108">
        <v>219.3</v>
      </c>
      <c r="AH123" s="19">
        <v>0</v>
      </c>
      <c r="AI123" s="18">
        <f t="shared" si="117"/>
        <v>228.1</v>
      </c>
      <c r="AJ123" s="19">
        <v>0</v>
      </c>
      <c r="AK123" s="19">
        <v>0</v>
      </c>
      <c r="AL123" s="108">
        <v>228.1</v>
      </c>
      <c r="AM123" s="19">
        <v>0</v>
      </c>
    </row>
    <row r="124" spans="1:39" s="2" customFormat="1" ht="31.5" outlineLevel="2" x14ac:dyDescent="0.25">
      <c r="A124" s="8" t="s">
        <v>156</v>
      </c>
      <c r="B124" s="25" t="s">
        <v>56</v>
      </c>
      <c r="C124" s="26" t="s">
        <v>32</v>
      </c>
      <c r="D124" s="26" t="s">
        <v>118</v>
      </c>
      <c r="E124" s="20">
        <f t="shared" si="109"/>
        <v>1277.1999999999998</v>
      </c>
      <c r="F124" s="38">
        <f t="shared" si="110"/>
        <v>0</v>
      </c>
      <c r="G124" s="38">
        <f t="shared" si="111"/>
        <v>0</v>
      </c>
      <c r="H124" s="38">
        <f t="shared" si="111"/>
        <v>1277.1999999999998</v>
      </c>
      <c r="I124" s="38">
        <f t="shared" si="111"/>
        <v>0</v>
      </c>
      <c r="J124" s="18">
        <f t="shared" si="112"/>
        <v>192.6</v>
      </c>
      <c r="K124" s="19">
        <v>0</v>
      </c>
      <c r="L124" s="19">
        <v>0</v>
      </c>
      <c r="M124" s="19">
        <v>192.6</v>
      </c>
      <c r="N124" s="19">
        <v>0</v>
      </c>
      <c r="O124" s="18">
        <f t="shared" si="113"/>
        <v>200.3</v>
      </c>
      <c r="P124" s="19">
        <v>0</v>
      </c>
      <c r="Q124" s="19">
        <v>0</v>
      </c>
      <c r="R124" s="19">
        <v>200.3</v>
      </c>
      <c r="S124" s="19">
        <v>0</v>
      </c>
      <c r="T124" s="18">
        <f t="shared" si="114"/>
        <v>208.7</v>
      </c>
      <c r="U124" s="19">
        <v>0</v>
      </c>
      <c r="V124" s="19">
        <v>0</v>
      </c>
      <c r="W124" s="19">
        <v>208.7</v>
      </c>
      <c r="X124" s="19"/>
      <c r="Y124" s="18">
        <f t="shared" si="115"/>
        <v>216.4</v>
      </c>
      <c r="Z124" s="19">
        <v>0</v>
      </c>
      <c r="AA124" s="19">
        <v>0</v>
      </c>
      <c r="AB124" s="19">
        <v>216.4</v>
      </c>
      <c r="AC124" s="19"/>
      <c r="AD124" s="18">
        <f t="shared" si="116"/>
        <v>225.1</v>
      </c>
      <c r="AE124" s="19">
        <v>0</v>
      </c>
      <c r="AF124" s="19">
        <v>0</v>
      </c>
      <c r="AG124" s="108">
        <v>225.1</v>
      </c>
      <c r="AH124" s="19"/>
      <c r="AI124" s="18">
        <f t="shared" si="117"/>
        <v>234.1</v>
      </c>
      <c r="AJ124" s="19">
        <v>0</v>
      </c>
      <c r="AK124" s="19">
        <v>0</v>
      </c>
      <c r="AL124" s="108">
        <v>234.1</v>
      </c>
      <c r="AM124" s="19"/>
    </row>
    <row r="125" spans="1:39" s="2" customFormat="1" ht="31.5" outlineLevel="2" x14ac:dyDescent="0.25">
      <c r="A125" s="8" t="s">
        <v>157</v>
      </c>
      <c r="B125" s="25" t="s">
        <v>57</v>
      </c>
      <c r="C125" s="26" t="s">
        <v>32</v>
      </c>
      <c r="D125" s="26" t="s">
        <v>118</v>
      </c>
      <c r="E125" s="20">
        <f t="shared" si="109"/>
        <v>832.6</v>
      </c>
      <c r="F125" s="38">
        <f t="shared" si="110"/>
        <v>0</v>
      </c>
      <c r="G125" s="38">
        <f t="shared" si="111"/>
        <v>0</v>
      </c>
      <c r="H125" s="38">
        <f t="shared" si="111"/>
        <v>832.6</v>
      </c>
      <c r="I125" s="38">
        <f t="shared" si="111"/>
        <v>0</v>
      </c>
      <c r="J125" s="18">
        <f t="shared" si="112"/>
        <v>112.3</v>
      </c>
      <c r="K125" s="19">
        <v>0</v>
      </c>
      <c r="L125" s="19">
        <v>0</v>
      </c>
      <c r="M125" s="19">
        <v>112.3</v>
      </c>
      <c r="N125" s="19">
        <v>0</v>
      </c>
      <c r="O125" s="18">
        <f t="shared" si="113"/>
        <v>116.8</v>
      </c>
      <c r="P125" s="19">
        <v>0</v>
      </c>
      <c r="Q125" s="19">
        <v>0</v>
      </c>
      <c r="R125" s="19">
        <v>116.8</v>
      </c>
      <c r="S125" s="19">
        <v>0</v>
      </c>
      <c r="T125" s="18">
        <f t="shared" si="114"/>
        <v>209.7</v>
      </c>
      <c r="U125" s="19">
        <v>0</v>
      </c>
      <c r="V125" s="19">
        <v>0</v>
      </c>
      <c r="W125" s="19">
        <f>88+121.7</f>
        <v>209.7</v>
      </c>
      <c r="X125" s="19">
        <v>0</v>
      </c>
      <c r="Y125" s="18">
        <f t="shared" si="115"/>
        <v>126.2</v>
      </c>
      <c r="Z125" s="19">
        <v>0</v>
      </c>
      <c r="AA125" s="19">
        <v>0</v>
      </c>
      <c r="AB125" s="19">
        <v>126.2</v>
      </c>
      <c r="AC125" s="19">
        <v>0</v>
      </c>
      <c r="AD125" s="18">
        <f t="shared" si="116"/>
        <v>131.19999999999999</v>
      </c>
      <c r="AE125" s="19">
        <v>0</v>
      </c>
      <c r="AF125" s="19">
        <v>0</v>
      </c>
      <c r="AG125" s="108">
        <v>131.19999999999999</v>
      </c>
      <c r="AH125" s="19">
        <v>0</v>
      </c>
      <c r="AI125" s="18">
        <f t="shared" si="117"/>
        <v>136.4</v>
      </c>
      <c r="AJ125" s="19">
        <v>0</v>
      </c>
      <c r="AK125" s="19">
        <v>0</v>
      </c>
      <c r="AL125" s="108">
        <v>136.4</v>
      </c>
      <c r="AM125" s="19">
        <v>0</v>
      </c>
    </row>
    <row r="126" spans="1:39" s="2" customFormat="1" ht="31.5" outlineLevel="2" x14ac:dyDescent="0.25">
      <c r="A126" s="8" t="s">
        <v>158</v>
      </c>
      <c r="B126" s="25" t="s">
        <v>58</v>
      </c>
      <c r="C126" s="26" t="s">
        <v>32</v>
      </c>
      <c r="D126" s="26" t="s">
        <v>118</v>
      </c>
      <c r="E126" s="20">
        <f t="shared" si="109"/>
        <v>1566.1</v>
      </c>
      <c r="F126" s="38">
        <f t="shared" si="110"/>
        <v>0</v>
      </c>
      <c r="G126" s="38">
        <f t="shared" si="111"/>
        <v>0</v>
      </c>
      <c r="H126" s="38">
        <f t="shared" si="111"/>
        <v>1566.1</v>
      </c>
      <c r="I126" s="38">
        <f t="shared" si="111"/>
        <v>0</v>
      </c>
      <c r="J126" s="18">
        <f t="shared" si="112"/>
        <v>236.2</v>
      </c>
      <c r="K126" s="19">
        <v>0</v>
      </c>
      <c r="L126" s="19">
        <v>0</v>
      </c>
      <c r="M126" s="19">
        <v>236.2</v>
      </c>
      <c r="N126" s="19">
        <v>0</v>
      </c>
      <c r="O126" s="18">
        <f t="shared" si="113"/>
        <v>245.6</v>
      </c>
      <c r="P126" s="19">
        <v>0</v>
      </c>
      <c r="Q126" s="19">
        <v>0</v>
      </c>
      <c r="R126" s="19">
        <v>245.6</v>
      </c>
      <c r="S126" s="19">
        <v>0</v>
      </c>
      <c r="T126" s="18">
        <f t="shared" si="114"/>
        <v>255.9</v>
      </c>
      <c r="U126" s="19">
        <v>0</v>
      </c>
      <c r="V126" s="19">
        <v>0</v>
      </c>
      <c r="W126" s="19">
        <v>255.9</v>
      </c>
      <c r="X126" s="19">
        <v>0</v>
      </c>
      <c r="Y126" s="18">
        <f t="shared" si="115"/>
        <v>265.39999999999998</v>
      </c>
      <c r="Z126" s="19">
        <v>0</v>
      </c>
      <c r="AA126" s="19">
        <v>0</v>
      </c>
      <c r="AB126" s="19">
        <v>265.39999999999998</v>
      </c>
      <c r="AC126" s="19">
        <v>0</v>
      </c>
      <c r="AD126" s="18">
        <f t="shared" si="116"/>
        <v>276</v>
      </c>
      <c r="AE126" s="19">
        <v>0</v>
      </c>
      <c r="AF126" s="19">
        <v>0</v>
      </c>
      <c r="AG126" s="107">
        <v>276</v>
      </c>
      <c r="AH126" s="19">
        <v>0</v>
      </c>
      <c r="AI126" s="18">
        <f t="shared" si="117"/>
        <v>287</v>
      </c>
      <c r="AJ126" s="19">
        <v>0</v>
      </c>
      <c r="AK126" s="19">
        <v>0</v>
      </c>
      <c r="AL126" s="107">
        <v>287</v>
      </c>
      <c r="AM126" s="19">
        <v>0</v>
      </c>
    </row>
    <row r="127" spans="1:39" s="5" customFormat="1" ht="40.5" customHeight="1" outlineLevel="1" x14ac:dyDescent="0.25">
      <c r="A127" s="165" t="s">
        <v>159</v>
      </c>
      <c r="B127" s="194" t="s">
        <v>12</v>
      </c>
      <c r="C127" s="195"/>
      <c r="D127" s="195"/>
      <c r="E127" s="18">
        <f>SUM(E128:E130)</f>
        <v>2370</v>
      </c>
      <c r="F127" s="18">
        <f t="shared" ref="F127:AM127" si="118">SUM(F128:F130)</f>
        <v>0</v>
      </c>
      <c r="G127" s="18">
        <f t="shared" si="118"/>
        <v>0</v>
      </c>
      <c r="H127" s="18">
        <f t="shared" si="118"/>
        <v>2370</v>
      </c>
      <c r="I127" s="18">
        <f t="shared" si="118"/>
        <v>0</v>
      </c>
      <c r="J127" s="18">
        <f t="shared" si="118"/>
        <v>304.39999999999998</v>
      </c>
      <c r="K127" s="18">
        <f t="shared" si="118"/>
        <v>0</v>
      </c>
      <c r="L127" s="18">
        <f t="shared" si="118"/>
        <v>0</v>
      </c>
      <c r="M127" s="18">
        <f t="shared" si="118"/>
        <v>304.39999999999998</v>
      </c>
      <c r="N127" s="18">
        <f t="shared" si="118"/>
        <v>0</v>
      </c>
      <c r="O127" s="18">
        <f t="shared" si="118"/>
        <v>391</v>
      </c>
      <c r="P127" s="18">
        <f t="shared" si="118"/>
        <v>0</v>
      </c>
      <c r="Q127" s="18">
        <f t="shared" si="118"/>
        <v>0</v>
      </c>
      <c r="R127" s="18">
        <f>SUM(R128:R130)</f>
        <v>391</v>
      </c>
      <c r="S127" s="18">
        <f t="shared" si="118"/>
        <v>0</v>
      </c>
      <c r="T127" s="18">
        <f t="shared" si="118"/>
        <v>395.2</v>
      </c>
      <c r="U127" s="18">
        <f t="shared" si="118"/>
        <v>0</v>
      </c>
      <c r="V127" s="18">
        <f t="shared" si="118"/>
        <v>0</v>
      </c>
      <c r="W127" s="18">
        <f t="shared" si="118"/>
        <v>395.2</v>
      </c>
      <c r="X127" s="18">
        <f t="shared" si="118"/>
        <v>0</v>
      </c>
      <c r="Y127" s="18">
        <f t="shared" si="118"/>
        <v>409.8</v>
      </c>
      <c r="Z127" s="18">
        <f t="shared" si="118"/>
        <v>0</v>
      </c>
      <c r="AA127" s="18">
        <f t="shared" si="118"/>
        <v>0</v>
      </c>
      <c r="AB127" s="18">
        <f t="shared" si="118"/>
        <v>409.8</v>
      </c>
      <c r="AC127" s="18">
        <f t="shared" si="118"/>
        <v>0</v>
      </c>
      <c r="AD127" s="18">
        <f t="shared" si="118"/>
        <v>426.29999999999995</v>
      </c>
      <c r="AE127" s="18">
        <f t="shared" si="118"/>
        <v>0</v>
      </c>
      <c r="AF127" s="18">
        <f t="shared" si="118"/>
        <v>0</v>
      </c>
      <c r="AG127" s="18">
        <f t="shared" si="118"/>
        <v>426.29999999999995</v>
      </c>
      <c r="AH127" s="18">
        <f t="shared" si="118"/>
        <v>0</v>
      </c>
      <c r="AI127" s="18">
        <f t="shared" si="118"/>
        <v>443.3</v>
      </c>
      <c r="AJ127" s="18">
        <f t="shared" si="118"/>
        <v>0</v>
      </c>
      <c r="AK127" s="18">
        <f t="shared" si="118"/>
        <v>0</v>
      </c>
      <c r="AL127" s="18">
        <f t="shared" si="118"/>
        <v>443.3</v>
      </c>
      <c r="AM127" s="18">
        <f t="shared" si="118"/>
        <v>0</v>
      </c>
    </row>
    <row r="128" spans="1:39" s="2" customFormat="1" ht="31.5" outlineLevel="2" x14ac:dyDescent="0.25">
      <c r="A128" s="8" t="s">
        <v>160</v>
      </c>
      <c r="B128" s="25" t="s">
        <v>59</v>
      </c>
      <c r="C128" s="26" t="s">
        <v>32</v>
      </c>
      <c r="D128" s="26" t="s">
        <v>118</v>
      </c>
      <c r="E128" s="20">
        <f>SUM(F128:I128)</f>
        <v>344</v>
      </c>
      <c r="F128" s="38">
        <f>K128+P128+U128</f>
        <v>0</v>
      </c>
      <c r="G128" s="38">
        <f t="shared" si="111"/>
        <v>0</v>
      </c>
      <c r="H128" s="38">
        <f t="shared" si="111"/>
        <v>344</v>
      </c>
      <c r="I128" s="38">
        <f t="shared" si="111"/>
        <v>0</v>
      </c>
      <c r="J128" s="18">
        <f>SUM(K128:N128)</f>
        <v>50.1</v>
      </c>
      <c r="K128" s="19">
        <v>0</v>
      </c>
      <c r="L128" s="19">
        <v>0</v>
      </c>
      <c r="M128" s="19">
        <v>50.1</v>
      </c>
      <c r="N128" s="19">
        <v>0</v>
      </c>
      <c r="O128" s="18">
        <f>SUM(P128:S128)</f>
        <v>63.8</v>
      </c>
      <c r="P128" s="19">
        <v>0</v>
      </c>
      <c r="Q128" s="19">
        <v>0</v>
      </c>
      <c r="R128" s="19">
        <f>52.1+11.7</f>
        <v>63.8</v>
      </c>
      <c r="S128" s="19">
        <v>0</v>
      </c>
      <c r="T128" s="18">
        <f>SUM(U128:X128)</f>
        <v>54.3</v>
      </c>
      <c r="U128" s="19">
        <v>0</v>
      </c>
      <c r="V128" s="19">
        <v>0</v>
      </c>
      <c r="W128" s="19">
        <v>54.3</v>
      </c>
      <c r="X128" s="19">
        <v>0</v>
      </c>
      <c r="Y128" s="18">
        <f>SUM(Z128:AC128)</f>
        <v>56.3</v>
      </c>
      <c r="Z128" s="19">
        <v>0</v>
      </c>
      <c r="AA128" s="19">
        <v>0</v>
      </c>
      <c r="AB128" s="19">
        <v>56.3</v>
      </c>
      <c r="AC128" s="19">
        <v>0</v>
      </c>
      <c r="AD128" s="18">
        <f>SUM(AE128:AH128)</f>
        <v>58.6</v>
      </c>
      <c r="AE128" s="19">
        <v>0</v>
      </c>
      <c r="AF128" s="19">
        <v>0</v>
      </c>
      <c r="AG128" s="19">
        <v>58.6</v>
      </c>
      <c r="AH128" s="19">
        <v>0</v>
      </c>
      <c r="AI128" s="18">
        <f>SUM(AJ128:AM128)</f>
        <v>60.9</v>
      </c>
      <c r="AJ128" s="19">
        <v>0</v>
      </c>
      <c r="AK128" s="19">
        <v>0</v>
      </c>
      <c r="AL128" s="19">
        <v>60.9</v>
      </c>
      <c r="AM128" s="19">
        <v>0</v>
      </c>
    </row>
    <row r="129" spans="1:39" s="2" customFormat="1" ht="31.5" outlineLevel="2" x14ac:dyDescent="0.25">
      <c r="A129" s="8" t="s">
        <v>161</v>
      </c>
      <c r="B129" s="25" t="s">
        <v>60</v>
      </c>
      <c r="C129" s="26" t="s">
        <v>32</v>
      </c>
      <c r="D129" s="26" t="s">
        <v>118</v>
      </c>
      <c r="E129" s="20">
        <f>SUM(F129:I129)</f>
        <v>733.19999999999993</v>
      </c>
      <c r="F129" s="38">
        <f>K129+P129+U129</f>
        <v>0</v>
      </c>
      <c r="G129" s="38">
        <f t="shared" si="111"/>
        <v>0</v>
      </c>
      <c r="H129" s="38">
        <f t="shared" si="111"/>
        <v>733.19999999999993</v>
      </c>
      <c r="I129" s="38">
        <f t="shared" si="111"/>
        <v>0</v>
      </c>
      <c r="J129" s="18">
        <f>SUM(K129:N129)</f>
        <v>110.6</v>
      </c>
      <c r="K129" s="19">
        <v>0</v>
      </c>
      <c r="L129" s="19">
        <v>0</v>
      </c>
      <c r="M129" s="19">
        <v>110.6</v>
      </c>
      <c r="N129" s="19">
        <v>0</v>
      </c>
      <c r="O129" s="18">
        <f>SUM(P129:S129)</f>
        <v>115</v>
      </c>
      <c r="P129" s="19">
        <v>0</v>
      </c>
      <c r="Q129" s="19">
        <v>0</v>
      </c>
      <c r="R129" s="19">
        <v>115</v>
      </c>
      <c r="S129" s="19">
        <v>0</v>
      </c>
      <c r="T129" s="18">
        <f>SUM(U129:X129)</f>
        <v>119.8</v>
      </c>
      <c r="U129" s="19">
        <v>0</v>
      </c>
      <c r="V129" s="19">
        <v>0</v>
      </c>
      <c r="W129" s="19">
        <v>119.8</v>
      </c>
      <c r="X129" s="19">
        <v>0</v>
      </c>
      <c r="Y129" s="18">
        <f>SUM(Z129:AC129)</f>
        <v>124.2</v>
      </c>
      <c r="Z129" s="19">
        <v>0</v>
      </c>
      <c r="AA129" s="19">
        <v>0</v>
      </c>
      <c r="AB129" s="19">
        <v>124.2</v>
      </c>
      <c r="AC129" s="19">
        <v>0</v>
      </c>
      <c r="AD129" s="18">
        <f>SUM(AE129:AH129)</f>
        <v>129.19999999999999</v>
      </c>
      <c r="AE129" s="19">
        <v>0</v>
      </c>
      <c r="AF129" s="19">
        <v>0</v>
      </c>
      <c r="AG129" s="19">
        <v>129.19999999999999</v>
      </c>
      <c r="AH129" s="19">
        <v>0</v>
      </c>
      <c r="AI129" s="18">
        <f>SUM(AJ129:AM129)</f>
        <v>134.4</v>
      </c>
      <c r="AJ129" s="19">
        <v>0</v>
      </c>
      <c r="AK129" s="19">
        <v>0</v>
      </c>
      <c r="AL129" s="19">
        <v>134.4</v>
      </c>
      <c r="AM129" s="19">
        <v>0</v>
      </c>
    </row>
    <row r="130" spans="1:39" s="2" customFormat="1" ht="31.5" outlineLevel="2" x14ac:dyDescent="0.25">
      <c r="A130" s="8" t="s">
        <v>162</v>
      </c>
      <c r="B130" s="25" t="s">
        <v>61</v>
      </c>
      <c r="C130" s="26" t="s">
        <v>32</v>
      </c>
      <c r="D130" s="26" t="s">
        <v>118</v>
      </c>
      <c r="E130" s="20">
        <f>SUM(F130:I130)</f>
        <v>1292.8</v>
      </c>
      <c r="F130" s="38">
        <f>K130+P130+U130</f>
        <v>0</v>
      </c>
      <c r="G130" s="38">
        <f t="shared" si="111"/>
        <v>0</v>
      </c>
      <c r="H130" s="38">
        <f t="shared" si="111"/>
        <v>1292.8</v>
      </c>
      <c r="I130" s="38">
        <f t="shared" si="111"/>
        <v>0</v>
      </c>
      <c r="J130" s="18">
        <f>SUM(K130:N130)</f>
        <v>143.69999999999999</v>
      </c>
      <c r="K130" s="19">
        <v>0</v>
      </c>
      <c r="L130" s="19">
        <v>0</v>
      </c>
      <c r="M130" s="19">
        <f>204-60.3</f>
        <v>143.69999999999999</v>
      </c>
      <c r="N130" s="19">
        <v>0</v>
      </c>
      <c r="O130" s="18">
        <f>SUM(P130:S130)</f>
        <v>212.2</v>
      </c>
      <c r="P130" s="19">
        <v>0</v>
      </c>
      <c r="Q130" s="19">
        <v>0</v>
      </c>
      <c r="R130" s="19">
        <v>212.2</v>
      </c>
      <c r="S130" s="19">
        <v>0</v>
      </c>
      <c r="T130" s="18">
        <f>SUM(U130:X130)</f>
        <v>221.1</v>
      </c>
      <c r="U130" s="19">
        <v>0</v>
      </c>
      <c r="V130" s="19">
        <v>0</v>
      </c>
      <c r="W130" s="19">
        <v>221.1</v>
      </c>
      <c r="X130" s="19">
        <v>0</v>
      </c>
      <c r="Y130" s="18">
        <f>SUM(Z130:AC130)</f>
        <v>229.3</v>
      </c>
      <c r="Z130" s="19">
        <v>0</v>
      </c>
      <c r="AA130" s="19">
        <v>0</v>
      </c>
      <c r="AB130" s="19">
        <v>229.3</v>
      </c>
      <c r="AC130" s="19">
        <v>0</v>
      </c>
      <c r="AD130" s="18">
        <f>SUM(AE130:AH130)</f>
        <v>238.5</v>
      </c>
      <c r="AE130" s="19">
        <v>0</v>
      </c>
      <c r="AF130" s="19">
        <v>0</v>
      </c>
      <c r="AG130" s="19">
        <v>238.5</v>
      </c>
      <c r="AH130" s="19">
        <v>0</v>
      </c>
      <c r="AI130" s="18">
        <f>SUM(AJ130:AM130)</f>
        <v>248</v>
      </c>
      <c r="AJ130" s="19">
        <v>0</v>
      </c>
      <c r="AK130" s="19">
        <v>0</v>
      </c>
      <c r="AL130" s="19">
        <v>248</v>
      </c>
      <c r="AM130" s="19">
        <v>0</v>
      </c>
    </row>
    <row r="131" spans="1:39" s="5" customFormat="1" ht="83.25" customHeight="1" outlineLevel="1" x14ac:dyDescent="0.25">
      <c r="A131" s="165" t="s">
        <v>163</v>
      </c>
      <c r="B131" s="194" t="s">
        <v>1064</v>
      </c>
      <c r="C131" s="195"/>
      <c r="D131" s="195"/>
      <c r="E131" s="18">
        <f t="shared" ref="E131:AM131" si="119">SUM(E132:E146)</f>
        <v>101469.50398625153</v>
      </c>
      <c r="F131" s="18">
        <f t="shared" si="119"/>
        <v>0</v>
      </c>
      <c r="G131" s="18">
        <f t="shared" si="119"/>
        <v>0</v>
      </c>
      <c r="H131" s="18">
        <f t="shared" si="119"/>
        <v>101469.50398625153</v>
      </c>
      <c r="I131" s="18">
        <f t="shared" si="119"/>
        <v>0</v>
      </c>
      <c r="J131" s="18">
        <f t="shared" si="119"/>
        <v>16642.2</v>
      </c>
      <c r="K131" s="18">
        <f t="shared" si="119"/>
        <v>0</v>
      </c>
      <c r="L131" s="18">
        <f t="shared" si="119"/>
        <v>0</v>
      </c>
      <c r="M131" s="18">
        <f t="shared" si="119"/>
        <v>16642.2</v>
      </c>
      <c r="N131" s="18">
        <f t="shared" si="119"/>
        <v>0</v>
      </c>
      <c r="O131" s="18">
        <f t="shared" si="119"/>
        <v>17798.903986251527</v>
      </c>
      <c r="P131" s="18">
        <f t="shared" si="119"/>
        <v>0</v>
      </c>
      <c r="Q131" s="18">
        <f t="shared" si="119"/>
        <v>0</v>
      </c>
      <c r="R131" s="18">
        <f t="shared" si="119"/>
        <v>17798.903986251527</v>
      </c>
      <c r="S131" s="18">
        <f t="shared" si="119"/>
        <v>0</v>
      </c>
      <c r="T131" s="18">
        <f t="shared" si="119"/>
        <v>18156.5</v>
      </c>
      <c r="U131" s="18">
        <f t="shared" si="119"/>
        <v>0</v>
      </c>
      <c r="V131" s="18">
        <f t="shared" si="119"/>
        <v>0</v>
      </c>
      <c r="W131" s="18">
        <f t="shared" si="119"/>
        <v>18156.5</v>
      </c>
      <c r="X131" s="18">
        <f t="shared" si="119"/>
        <v>0</v>
      </c>
      <c r="Y131" s="18">
        <f t="shared" si="119"/>
        <v>18175.600000000002</v>
      </c>
      <c r="Z131" s="18">
        <f t="shared" si="119"/>
        <v>0</v>
      </c>
      <c r="AA131" s="18">
        <f t="shared" si="119"/>
        <v>0</v>
      </c>
      <c r="AB131" s="18">
        <f t="shared" si="119"/>
        <v>18175.600000000002</v>
      </c>
      <c r="AC131" s="18">
        <f t="shared" si="119"/>
        <v>0</v>
      </c>
      <c r="AD131" s="18">
        <f t="shared" si="119"/>
        <v>15047.2</v>
      </c>
      <c r="AE131" s="18">
        <f t="shared" si="119"/>
        <v>0</v>
      </c>
      <c r="AF131" s="18">
        <f t="shared" si="119"/>
        <v>0</v>
      </c>
      <c r="AG131" s="18">
        <f t="shared" si="119"/>
        <v>15047.2</v>
      </c>
      <c r="AH131" s="18">
        <f t="shared" si="119"/>
        <v>0</v>
      </c>
      <c r="AI131" s="18">
        <f t="shared" si="119"/>
        <v>15649.1</v>
      </c>
      <c r="AJ131" s="18">
        <f t="shared" si="119"/>
        <v>0</v>
      </c>
      <c r="AK131" s="18">
        <f t="shared" si="119"/>
        <v>0</v>
      </c>
      <c r="AL131" s="18">
        <f t="shared" si="119"/>
        <v>15649.1</v>
      </c>
      <c r="AM131" s="18">
        <f t="shared" si="119"/>
        <v>0</v>
      </c>
    </row>
    <row r="132" spans="1:39" s="2" customFormat="1" ht="31.5" outlineLevel="2" x14ac:dyDescent="0.25">
      <c r="A132" s="8" t="s">
        <v>164</v>
      </c>
      <c r="B132" s="17" t="s">
        <v>59</v>
      </c>
      <c r="C132" s="26" t="s">
        <v>32</v>
      </c>
      <c r="D132" s="26" t="s">
        <v>118</v>
      </c>
      <c r="E132" s="20">
        <f t="shared" ref="E132:E145" si="120">SUM(F132:I132)</f>
        <v>5909</v>
      </c>
      <c r="F132" s="38">
        <f t="shared" ref="F132:F145" si="121">K132+P132+U132</f>
        <v>0</v>
      </c>
      <c r="G132" s="38">
        <f t="shared" si="111"/>
        <v>0</v>
      </c>
      <c r="H132" s="38">
        <f t="shared" si="111"/>
        <v>5909</v>
      </c>
      <c r="I132" s="38">
        <f t="shared" si="111"/>
        <v>0</v>
      </c>
      <c r="J132" s="18">
        <f t="shared" ref="J132:J145" si="122">SUM(K132:N132)</f>
        <v>998.2</v>
      </c>
      <c r="K132" s="19">
        <v>0</v>
      </c>
      <c r="L132" s="19">
        <v>0</v>
      </c>
      <c r="M132" s="19">
        <v>998.2</v>
      </c>
      <c r="N132" s="38">
        <v>0</v>
      </c>
      <c r="O132" s="18">
        <f t="shared" ref="O132:O146" si="123">SUM(P132:S132)</f>
        <v>962.59999999999991</v>
      </c>
      <c r="P132" s="19">
        <v>0</v>
      </c>
      <c r="Q132" s="19">
        <v>0</v>
      </c>
      <c r="R132" s="19">
        <f>711.9+250.7</f>
        <v>962.59999999999991</v>
      </c>
      <c r="S132" s="19">
        <v>0</v>
      </c>
      <c r="T132" s="18">
        <f>SUM(U132:X132)</f>
        <v>964.1</v>
      </c>
      <c r="U132" s="19">
        <v>0</v>
      </c>
      <c r="V132" s="19">
        <v>0</v>
      </c>
      <c r="W132" s="19">
        <f>219.5+728.6+16</f>
        <v>964.1</v>
      </c>
      <c r="X132" s="19">
        <v>0</v>
      </c>
      <c r="Y132" s="18">
        <f t="shared" ref="Y132:Y145" si="124">SUM(Z132:AC132)</f>
        <v>1095.8000000000002</v>
      </c>
      <c r="Z132" s="19">
        <v>0</v>
      </c>
      <c r="AA132" s="19">
        <v>0</v>
      </c>
      <c r="AB132" s="108">
        <f>761.7+334.1</f>
        <v>1095.8000000000002</v>
      </c>
      <c r="AC132" s="19">
        <v>0</v>
      </c>
      <c r="AD132" s="18">
        <f t="shared" ref="AD132:AD145" si="125">SUM(AE132:AH132)</f>
        <v>925.6</v>
      </c>
      <c r="AE132" s="19">
        <v>0</v>
      </c>
      <c r="AF132" s="19">
        <v>0</v>
      </c>
      <c r="AG132" s="108">
        <f>792.2+133.4</f>
        <v>925.6</v>
      </c>
      <c r="AH132" s="19">
        <v>0</v>
      </c>
      <c r="AI132" s="18">
        <f t="shared" ref="AI132:AI146" si="126">SUM(AJ132:AM132)</f>
        <v>962.7</v>
      </c>
      <c r="AJ132" s="19">
        <v>0</v>
      </c>
      <c r="AK132" s="19">
        <v>0</v>
      </c>
      <c r="AL132" s="108">
        <f>823.9+138.8</f>
        <v>962.7</v>
      </c>
      <c r="AM132" s="19">
        <v>0</v>
      </c>
    </row>
    <row r="133" spans="1:39" s="2" customFormat="1" ht="31.5" outlineLevel="2" x14ac:dyDescent="0.25">
      <c r="A133" s="8" t="s">
        <v>165</v>
      </c>
      <c r="B133" s="17" t="s">
        <v>49</v>
      </c>
      <c r="C133" s="26" t="s">
        <v>32</v>
      </c>
      <c r="D133" s="26" t="s">
        <v>118</v>
      </c>
      <c r="E133" s="20">
        <f t="shared" si="120"/>
        <v>2938.2039862515271</v>
      </c>
      <c r="F133" s="38">
        <f t="shared" si="121"/>
        <v>0</v>
      </c>
      <c r="G133" s="38">
        <f t="shared" si="111"/>
        <v>0</v>
      </c>
      <c r="H133" s="38">
        <f t="shared" si="111"/>
        <v>2938.2039862515271</v>
      </c>
      <c r="I133" s="38">
        <f t="shared" si="111"/>
        <v>0</v>
      </c>
      <c r="J133" s="18">
        <f t="shared" si="122"/>
        <v>992.09999999999991</v>
      </c>
      <c r="K133" s="19">
        <v>0</v>
      </c>
      <c r="L133" s="19">
        <v>0</v>
      </c>
      <c r="M133" s="19">
        <f>1008.3-16.2</f>
        <v>992.09999999999991</v>
      </c>
      <c r="N133" s="38">
        <v>0</v>
      </c>
      <c r="O133" s="18">
        <f t="shared" si="123"/>
        <v>972.30398625152702</v>
      </c>
      <c r="P133" s="19">
        <v>0</v>
      </c>
      <c r="Q133" s="19">
        <v>0</v>
      </c>
      <c r="R133" s="19">
        <f>719.103986251527+253.2</f>
        <v>972.30398625152702</v>
      </c>
      <c r="S133" s="19">
        <v>0</v>
      </c>
      <c r="T133" s="18">
        <f t="shared" ref="T133:T146" si="127">SUM(U133:X133)</f>
        <v>973.80000000000007</v>
      </c>
      <c r="U133" s="19">
        <v>0</v>
      </c>
      <c r="V133" s="19">
        <v>0</v>
      </c>
      <c r="W133" s="19">
        <f>221.6+736+16.2</f>
        <v>973.80000000000007</v>
      </c>
      <c r="X133" s="19">
        <v>0</v>
      </c>
      <c r="Y133" s="18">
        <f t="shared" si="124"/>
        <v>0</v>
      </c>
      <c r="Z133" s="19">
        <v>0</v>
      </c>
      <c r="AA133" s="19">
        <v>0</v>
      </c>
      <c r="AB133" s="108">
        <v>0</v>
      </c>
      <c r="AC133" s="19">
        <v>0</v>
      </c>
      <c r="AD133" s="18">
        <f t="shared" si="125"/>
        <v>0</v>
      </c>
      <c r="AE133" s="19">
        <v>0</v>
      </c>
      <c r="AF133" s="19">
        <v>0</v>
      </c>
      <c r="AG133" s="108">
        <v>0</v>
      </c>
      <c r="AH133" s="19">
        <v>0</v>
      </c>
      <c r="AI133" s="18">
        <f t="shared" si="126"/>
        <v>0</v>
      </c>
      <c r="AJ133" s="19">
        <v>0</v>
      </c>
      <c r="AK133" s="19">
        <v>0</v>
      </c>
      <c r="AL133" s="108">
        <v>0</v>
      </c>
      <c r="AM133" s="19">
        <v>0</v>
      </c>
    </row>
    <row r="134" spans="1:39" s="2" customFormat="1" ht="31.5" outlineLevel="2" x14ac:dyDescent="0.25">
      <c r="A134" s="8" t="s">
        <v>166</v>
      </c>
      <c r="B134" s="17" t="s">
        <v>51</v>
      </c>
      <c r="C134" s="26" t="s">
        <v>32</v>
      </c>
      <c r="D134" s="26" t="s">
        <v>118</v>
      </c>
      <c r="E134" s="20">
        <f t="shared" si="120"/>
        <v>2099.1000000000004</v>
      </c>
      <c r="F134" s="38">
        <f t="shared" si="121"/>
        <v>0</v>
      </c>
      <c r="G134" s="38">
        <f t="shared" ref="G134:I146" si="128">L134+Q134+V134+AA134+AF134+AK134</f>
        <v>0</v>
      </c>
      <c r="H134" s="38">
        <f t="shared" si="128"/>
        <v>2099.1000000000004</v>
      </c>
      <c r="I134" s="38">
        <f t="shared" si="128"/>
        <v>0</v>
      </c>
      <c r="J134" s="18">
        <f t="shared" si="122"/>
        <v>716.1</v>
      </c>
      <c r="K134" s="19">
        <v>0</v>
      </c>
      <c r="L134" s="19">
        <v>0</v>
      </c>
      <c r="M134" s="19">
        <v>716.1</v>
      </c>
      <c r="N134" s="38">
        <v>0</v>
      </c>
      <c r="O134" s="18">
        <f t="shared" si="123"/>
        <v>690.6</v>
      </c>
      <c r="P134" s="19">
        <v>0</v>
      </c>
      <c r="Q134" s="19">
        <v>0</v>
      </c>
      <c r="R134" s="19">
        <f>510.7+179.9</f>
        <v>690.6</v>
      </c>
      <c r="S134" s="19">
        <v>0</v>
      </c>
      <c r="T134" s="18">
        <f t="shared" si="127"/>
        <v>692.40000000000009</v>
      </c>
      <c r="U134" s="19">
        <v>0</v>
      </c>
      <c r="V134" s="19">
        <v>0</v>
      </c>
      <c r="W134" s="19">
        <f>158.2+522.7+11.5</f>
        <v>692.40000000000009</v>
      </c>
      <c r="X134" s="19">
        <v>0</v>
      </c>
      <c r="Y134" s="18">
        <f t="shared" si="124"/>
        <v>0</v>
      </c>
      <c r="Z134" s="19">
        <v>0</v>
      </c>
      <c r="AA134" s="19">
        <v>0</v>
      </c>
      <c r="AB134" s="108">
        <v>0</v>
      </c>
      <c r="AC134" s="19">
        <v>0</v>
      </c>
      <c r="AD134" s="18">
        <f t="shared" si="125"/>
        <v>0</v>
      </c>
      <c r="AE134" s="19">
        <v>0</v>
      </c>
      <c r="AF134" s="19">
        <v>0</v>
      </c>
      <c r="AG134" s="108">
        <v>0</v>
      </c>
      <c r="AH134" s="19">
        <v>0</v>
      </c>
      <c r="AI134" s="18">
        <f t="shared" si="126"/>
        <v>0</v>
      </c>
      <c r="AJ134" s="19">
        <v>0</v>
      </c>
      <c r="AK134" s="19">
        <v>0</v>
      </c>
      <c r="AL134" s="108">
        <v>0</v>
      </c>
      <c r="AM134" s="19">
        <v>0</v>
      </c>
    </row>
    <row r="135" spans="1:39" s="2" customFormat="1" ht="31.5" outlineLevel="2" x14ac:dyDescent="0.25">
      <c r="A135" s="8" t="s">
        <v>167</v>
      </c>
      <c r="B135" s="17" t="s">
        <v>52</v>
      </c>
      <c r="C135" s="26" t="s">
        <v>32</v>
      </c>
      <c r="D135" s="26" t="s">
        <v>118</v>
      </c>
      <c r="E135" s="20">
        <f t="shared" si="120"/>
        <v>3862.2</v>
      </c>
      <c r="F135" s="38">
        <f t="shared" si="121"/>
        <v>0</v>
      </c>
      <c r="G135" s="38">
        <f t="shared" si="128"/>
        <v>0</v>
      </c>
      <c r="H135" s="38">
        <f t="shared" si="128"/>
        <v>3862.2</v>
      </c>
      <c r="I135" s="38">
        <f t="shared" si="128"/>
        <v>0</v>
      </c>
      <c r="J135" s="18">
        <f t="shared" si="122"/>
        <v>231.90000000000003</v>
      </c>
      <c r="K135" s="19">
        <v>0</v>
      </c>
      <c r="L135" s="19">
        <v>0</v>
      </c>
      <c r="M135" s="19">
        <v>231.90000000000003</v>
      </c>
      <c r="N135" s="38">
        <v>0</v>
      </c>
      <c r="O135" s="18">
        <f t="shared" si="123"/>
        <v>448.5</v>
      </c>
      <c r="P135" s="19">
        <v>0</v>
      </c>
      <c r="Q135" s="19">
        <v>0</v>
      </c>
      <c r="R135" s="19">
        <f>331.7+116.8</f>
        <v>448.5</v>
      </c>
      <c r="S135" s="19">
        <v>0</v>
      </c>
      <c r="T135" s="18">
        <f t="shared" si="127"/>
        <v>777.19999999999993</v>
      </c>
      <c r="U135" s="19">
        <v>0</v>
      </c>
      <c r="V135" s="19">
        <v>0</v>
      </c>
      <c r="W135" s="19">
        <f>177.2+587.1+12.9</f>
        <v>777.19999999999993</v>
      </c>
      <c r="X135" s="19">
        <v>0</v>
      </c>
      <c r="Y135" s="18">
        <f t="shared" si="124"/>
        <v>883</v>
      </c>
      <c r="Z135" s="19">
        <v>0</v>
      </c>
      <c r="AA135" s="19">
        <v>0</v>
      </c>
      <c r="AB135" s="108">
        <f>613.8+269.2</f>
        <v>883</v>
      </c>
      <c r="AC135" s="19">
        <v>0</v>
      </c>
      <c r="AD135" s="18">
        <f t="shared" si="125"/>
        <v>745.9</v>
      </c>
      <c r="AE135" s="19">
        <v>0</v>
      </c>
      <c r="AF135" s="19">
        <v>0</v>
      </c>
      <c r="AG135" s="108">
        <f>638.4+107.5</f>
        <v>745.9</v>
      </c>
      <c r="AH135" s="19">
        <v>0</v>
      </c>
      <c r="AI135" s="18">
        <f t="shared" si="126"/>
        <v>775.69999999999993</v>
      </c>
      <c r="AJ135" s="19">
        <v>0</v>
      </c>
      <c r="AK135" s="19">
        <v>0</v>
      </c>
      <c r="AL135" s="108">
        <f>663.9+111.8</f>
        <v>775.69999999999993</v>
      </c>
      <c r="AM135" s="19">
        <v>0</v>
      </c>
    </row>
    <row r="136" spans="1:39" s="2" customFormat="1" ht="31.5" outlineLevel="2" x14ac:dyDescent="0.25">
      <c r="A136" s="8" t="s">
        <v>168</v>
      </c>
      <c r="B136" s="17" t="s">
        <v>64</v>
      </c>
      <c r="C136" s="26" t="s">
        <v>32</v>
      </c>
      <c r="D136" s="26" t="s">
        <v>118</v>
      </c>
      <c r="E136" s="20">
        <f t="shared" si="120"/>
        <v>2954.4</v>
      </c>
      <c r="F136" s="38">
        <f t="shared" si="121"/>
        <v>0</v>
      </c>
      <c r="G136" s="38">
        <f t="shared" si="128"/>
        <v>0</v>
      </c>
      <c r="H136" s="38">
        <f t="shared" si="128"/>
        <v>2954.4</v>
      </c>
      <c r="I136" s="38">
        <f t="shared" si="128"/>
        <v>0</v>
      </c>
      <c r="J136" s="18">
        <f t="shared" si="122"/>
        <v>1008.3000000000001</v>
      </c>
      <c r="K136" s="19">
        <v>0</v>
      </c>
      <c r="L136" s="19">
        <v>0</v>
      </c>
      <c r="M136" s="19">
        <v>1008.3000000000001</v>
      </c>
      <c r="N136" s="38">
        <v>0</v>
      </c>
      <c r="O136" s="18">
        <f t="shared" si="123"/>
        <v>972.3</v>
      </c>
      <c r="P136" s="19">
        <v>0</v>
      </c>
      <c r="Q136" s="19">
        <v>0</v>
      </c>
      <c r="R136" s="19">
        <f>719.1+253.2</f>
        <v>972.3</v>
      </c>
      <c r="S136" s="19">
        <v>0</v>
      </c>
      <c r="T136" s="18">
        <f t="shared" si="127"/>
        <v>973.80000000000007</v>
      </c>
      <c r="U136" s="19">
        <v>0</v>
      </c>
      <c r="V136" s="19">
        <v>0</v>
      </c>
      <c r="W136" s="19">
        <f>221.6+736+16.2</f>
        <v>973.80000000000007</v>
      </c>
      <c r="X136" s="19">
        <v>0</v>
      </c>
      <c r="Y136" s="18">
        <f t="shared" si="124"/>
        <v>0</v>
      </c>
      <c r="Z136" s="19">
        <v>0</v>
      </c>
      <c r="AA136" s="19">
        <v>0</v>
      </c>
      <c r="AB136" s="108">
        <v>0</v>
      </c>
      <c r="AC136" s="19">
        <v>0</v>
      </c>
      <c r="AD136" s="18">
        <f t="shared" si="125"/>
        <v>0</v>
      </c>
      <c r="AE136" s="19">
        <v>0</v>
      </c>
      <c r="AF136" s="19">
        <v>0</v>
      </c>
      <c r="AG136" s="108">
        <v>0</v>
      </c>
      <c r="AH136" s="19">
        <v>0</v>
      </c>
      <c r="AI136" s="18">
        <f t="shared" si="126"/>
        <v>0</v>
      </c>
      <c r="AJ136" s="19">
        <v>0</v>
      </c>
      <c r="AK136" s="19">
        <v>0</v>
      </c>
      <c r="AL136" s="108">
        <v>0</v>
      </c>
      <c r="AM136" s="19">
        <v>0</v>
      </c>
    </row>
    <row r="137" spans="1:39" s="2" customFormat="1" ht="31.5" outlineLevel="2" x14ac:dyDescent="0.25">
      <c r="A137" s="8" t="s">
        <v>169</v>
      </c>
      <c r="B137" s="17" t="s">
        <v>53</v>
      </c>
      <c r="C137" s="26" t="s">
        <v>32</v>
      </c>
      <c r="D137" s="26" t="s">
        <v>118</v>
      </c>
      <c r="E137" s="20">
        <f t="shared" si="120"/>
        <v>14708.900000000001</v>
      </c>
      <c r="F137" s="38">
        <f t="shared" si="121"/>
        <v>0</v>
      </c>
      <c r="G137" s="38">
        <f t="shared" si="128"/>
        <v>0</v>
      </c>
      <c r="H137" s="38">
        <f t="shared" si="128"/>
        <v>14708.900000000001</v>
      </c>
      <c r="I137" s="38">
        <f t="shared" si="128"/>
        <v>0</v>
      </c>
      <c r="J137" s="18">
        <f t="shared" si="122"/>
        <v>2173.1</v>
      </c>
      <c r="K137" s="19">
        <v>0</v>
      </c>
      <c r="L137" s="19">
        <v>0</v>
      </c>
      <c r="M137" s="19">
        <f>1797.8+375.3</f>
        <v>2173.1</v>
      </c>
      <c r="N137" s="38">
        <v>0</v>
      </c>
      <c r="O137" s="18">
        <f t="shared" si="123"/>
        <v>2457.4</v>
      </c>
      <c r="P137" s="19">
        <v>0</v>
      </c>
      <c r="Q137" s="19">
        <v>0</v>
      </c>
      <c r="R137" s="19">
        <f>1817.4+640</f>
        <v>2457.4</v>
      </c>
      <c r="S137" s="19">
        <v>0</v>
      </c>
      <c r="T137" s="18">
        <f t="shared" si="127"/>
        <v>2461.1</v>
      </c>
      <c r="U137" s="19">
        <v>0</v>
      </c>
      <c r="V137" s="19">
        <v>0</v>
      </c>
      <c r="W137" s="19">
        <f>560.1+1860.1+40.9</f>
        <v>2461.1</v>
      </c>
      <c r="X137" s="19">
        <v>0</v>
      </c>
      <c r="Y137" s="18">
        <f t="shared" si="124"/>
        <v>2797.3</v>
      </c>
      <c r="Z137" s="19">
        <v>0</v>
      </c>
      <c r="AA137" s="19">
        <v>0</v>
      </c>
      <c r="AB137" s="108">
        <f>1944.5+852.8</f>
        <v>2797.3</v>
      </c>
      <c r="AC137" s="19">
        <v>0</v>
      </c>
      <c r="AD137" s="18">
        <f t="shared" si="125"/>
        <v>2362.8000000000002</v>
      </c>
      <c r="AE137" s="19">
        <v>0</v>
      </c>
      <c r="AF137" s="19">
        <v>0</v>
      </c>
      <c r="AG137" s="108">
        <f>2022.2+340.6</f>
        <v>2362.8000000000002</v>
      </c>
      <c r="AH137" s="19">
        <v>0</v>
      </c>
      <c r="AI137" s="18">
        <f t="shared" si="126"/>
        <v>2457.1999999999998</v>
      </c>
      <c r="AJ137" s="19">
        <v>0</v>
      </c>
      <c r="AK137" s="19">
        <v>0</v>
      </c>
      <c r="AL137" s="108">
        <f>2103.1+354.1</f>
        <v>2457.1999999999998</v>
      </c>
      <c r="AM137" s="19">
        <v>0</v>
      </c>
    </row>
    <row r="138" spans="1:39" s="2" customFormat="1" ht="31.5" outlineLevel="2" x14ac:dyDescent="0.25">
      <c r="A138" s="8" t="s">
        <v>170</v>
      </c>
      <c r="B138" s="17" t="s">
        <v>63</v>
      </c>
      <c r="C138" s="26" t="s">
        <v>32</v>
      </c>
      <c r="D138" s="26" t="s">
        <v>118</v>
      </c>
      <c r="E138" s="20">
        <f t="shared" si="120"/>
        <v>27762.6</v>
      </c>
      <c r="F138" s="38">
        <f t="shared" si="121"/>
        <v>0</v>
      </c>
      <c r="G138" s="38">
        <f t="shared" si="128"/>
        <v>0</v>
      </c>
      <c r="H138" s="38">
        <f t="shared" si="128"/>
        <v>27762.6</v>
      </c>
      <c r="I138" s="38">
        <f t="shared" si="128"/>
        <v>0</v>
      </c>
      <c r="J138" s="18">
        <f t="shared" si="122"/>
        <v>4174</v>
      </c>
      <c r="K138" s="19">
        <v>0</v>
      </c>
      <c r="L138" s="19">
        <v>0</v>
      </c>
      <c r="M138" s="19">
        <f>1260.4+2913.6</f>
        <v>4174</v>
      </c>
      <c r="N138" s="38">
        <v>0</v>
      </c>
      <c r="O138" s="18">
        <f t="shared" si="123"/>
        <v>4624</v>
      </c>
      <c r="P138" s="19">
        <v>0</v>
      </c>
      <c r="Q138" s="19">
        <v>0</v>
      </c>
      <c r="R138" s="19">
        <f>3419.7+1204.3</f>
        <v>4624</v>
      </c>
      <c r="S138" s="19">
        <v>0</v>
      </c>
      <c r="T138" s="18">
        <f t="shared" si="127"/>
        <v>4631.1000000000004</v>
      </c>
      <c r="U138" s="19">
        <v>0</v>
      </c>
      <c r="V138" s="19">
        <v>0</v>
      </c>
      <c r="W138" s="19">
        <f>1054+3500.1+77</f>
        <v>4631.1000000000004</v>
      </c>
      <c r="X138" s="19">
        <v>0</v>
      </c>
      <c r="Y138" s="18">
        <f t="shared" si="124"/>
        <v>5263.6</v>
      </c>
      <c r="Z138" s="19">
        <v>0</v>
      </c>
      <c r="AA138" s="19">
        <v>0</v>
      </c>
      <c r="AB138" s="108">
        <f>3658.9+1604.7</f>
        <v>5263.6</v>
      </c>
      <c r="AC138" s="19">
        <v>0</v>
      </c>
      <c r="AD138" s="18">
        <f t="shared" si="125"/>
        <v>4446.0999999999995</v>
      </c>
      <c r="AE138" s="19">
        <v>0</v>
      </c>
      <c r="AF138" s="19">
        <v>0</v>
      </c>
      <c r="AG138" s="108">
        <f>3805.2+640.9</f>
        <v>4446.0999999999995</v>
      </c>
      <c r="AH138" s="19">
        <v>0</v>
      </c>
      <c r="AI138" s="18">
        <f t="shared" si="126"/>
        <v>4623.8</v>
      </c>
      <c r="AJ138" s="19">
        <v>0</v>
      </c>
      <c r="AK138" s="19">
        <v>0</v>
      </c>
      <c r="AL138" s="108">
        <f>3957.4+666.4</f>
        <v>4623.8</v>
      </c>
      <c r="AM138" s="19">
        <v>0</v>
      </c>
    </row>
    <row r="139" spans="1:39" s="2" customFormat="1" ht="31.5" outlineLevel="2" x14ac:dyDescent="0.25">
      <c r="A139" s="8" t="s">
        <v>171</v>
      </c>
      <c r="B139" s="17" t="s">
        <v>62</v>
      </c>
      <c r="C139" s="26" t="s">
        <v>32</v>
      </c>
      <c r="D139" s="26" t="s">
        <v>118</v>
      </c>
      <c r="E139" s="20">
        <f t="shared" si="120"/>
        <v>7594.4</v>
      </c>
      <c r="F139" s="38">
        <f t="shared" si="121"/>
        <v>0</v>
      </c>
      <c r="G139" s="38">
        <f t="shared" si="128"/>
        <v>0</v>
      </c>
      <c r="H139" s="38">
        <f t="shared" si="128"/>
        <v>7594.4</v>
      </c>
      <c r="I139" s="38">
        <f t="shared" si="128"/>
        <v>0</v>
      </c>
      <c r="J139" s="18">
        <f t="shared" si="122"/>
        <v>1159.6999999999998</v>
      </c>
      <c r="K139" s="19">
        <v>0</v>
      </c>
      <c r="L139" s="19">
        <v>0</v>
      </c>
      <c r="M139" s="19">
        <f>1135.6+24.1</f>
        <v>1159.6999999999998</v>
      </c>
      <c r="N139" s="38">
        <v>0</v>
      </c>
      <c r="O139" s="18">
        <f t="shared" si="123"/>
        <v>1164.9000000000001</v>
      </c>
      <c r="P139" s="19">
        <v>0</v>
      </c>
      <c r="Q139" s="19">
        <v>0</v>
      </c>
      <c r="R139" s="19">
        <f>861.5+303.4</f>
        <v>1164.9000000000001</v>
      </c>
      <c r="S139" s="19">
        <v>0</v>
      </c>
      <c r="T139" s="18">
        <f t="shared" si="127"/>
        <v>1167.1000000000001</v>
      </c>
      <c r="U139" s="19">
        <v>0</v>
      </c>
      <c r="V139" s="19">
        <v>0</v>
      </c>
      <c r="W139" s="19">
        <f>266+881.7+19.4</f>
        <v>1167.1000000000001</v>
      </c>
      <c r="X139" s="19">
        <v>0</v>
      </c>
      <c r="Y139" s="18">
        <f t="shared" si="124"/>
        <v>1506.5</v>
      </c>
      <c r="Z139" s="19">
        <v>0</v>
      </c>
      <c r="AA139" s="19">
        <v>0</v>
      </c>
      <c r="AB139" s="108">
        <f>1047.3+459.2</f>
        <v>1506.5</v>
      </c>
      <c r="AC139" s="19">
        <v>0</v>
      </c>
      <c r="AD139" s="18">
        <f t="shared" si="125"/>
        <v>1272.6000000000001</v>
      </c>
      <c r="AE139" s="19">
        <v>0</v>
      </c>
      <c r="AF139" s="19">
        <v>0</v>
      </c>
      <c r="AG139" s="108">
        <f>1089.2+183.4</f>
        <v>1272.6000000000001</v>
      </c>
      <c r="AH139" s="19">
        <v>0</v>
      </c>
      <c r="AI139" s="18">
        <f t="shared" si="126"/>
        <v>1323.6</v>
      </c>
      <c r="AJ139" s="19">
        <v>0</v>
      </c>
      <c r="AK139" s="19">
        <v>0</v>
      </c>
      <c r="AL139" s="108">
        <f>1132.8+190.8</f>
        <v>1323.6</v>
      </c>
      <c r="AM139" s="19">
        <v>0</v>
      </c>
    </row>
    <row r="140" spans="1:39" s="2" customFormat="1" ht="31.5" outlineLevel="2" x14ac:dyDescent="0.25">
      <c r="A140" s="8" t="s">
        <v>172</v>
      </c>
      <c r="B140" s="17" t="s">
        <v>60</v>
      </c>
      <c r="C140" s="26" t="s">
        <v>32</v>
      </c>
      <c r="D140" s="26" t="s">
        <v>118</v>
      </c>
      <c r="E140" s="20">
        <f t="shared" si="120"/>
        <v>4029</v>
      </c>
      <c r="F140" s="38">
        <f t="shared" si="121"/>
        <v>0</v>
      </c>
      <c r="G140" s="38">
        <f t="shared" si="128"/>
        <v>0</v>
      </c>
      <c r="H140" s="38">
        <f t="shared" si="128"/>
        <v>4029</v>
      </c>
      <c r="I140" s="38">
        <f t="shared" si="128"/>
        <v>0</v>
      </c>
      <c r="J140" s="18">
        <f t="shared" si="122"/>
        <v>680.59999999999991</v>
      </c>
      <c r="K140" s="19">
        <v>0</v>
      </c>
      <c r="L140" s="19">
        <v>0</v>
      </c>
      <c r="M140" s="19">
        <v>680.59999999999991</v>
      </c>
      <c r="N140" s="38">
        <v>0</v>
      </c>
      <c r="O140" s="18">
        <f t="shared" si="123"/>
        <v>656.3</v>
      </c>
      <c r="P140" s="19">
        <v>0</v>
      </c>
      <c r="Q140" s="19">
        <v>0</v>
      </c>
      <c r="R140" s="19">
        <f>485.4+170.9</f>
        <v>656.3</v>
      </c>
      <c r="S140" s="19">
        <v>0</v>
      </c>
      <c r="T140" s="18">
        <f t="shared" si="127"/>
        <v>657.69999999999993</v>
      </c>
      <c r="U140" s="19">
        <v>0</v>
      </c>
      <c r="V140" s="19">
        <v>0</v>
      </c>
      <c r="W140" s="19">
        <f>150+496.8+10.9</f>
        <v>657.69999999999993</v>
      </c>
      <c r="X140" s="19">
        <v>0</v>
      </c>
      <c r="Y140" s="18">
        <f t="shared" si="124"/>
        <v>747.09999999999991</v>
      </c>
      <c r="Z140" s="19">
        <v>0</v>
      </c>
      <c r="AA140" s="19">
        <v>0</v>
      </c>
      <c r="AB140" s="108">
        <f>519.3+227.8</f>
        <v>747.09999999999991</v>
      </c>
      <c r="AC140" s="19">
        <v>0</v>
      </c>
      <c r="AD140" s="18">
        <f t="shared" si="125"/>
        <v>631</v>
      </c>
      <c r="AE140" s="19">
        <v>0</v>
      </c>
      <c r="AF140" s="19">
        <v>0</v>
      </c>
      <c r="AG140" s="108">
        <f>540.1+90.9</f>
        <v>631</v>
      </c>
      <c r="AH140" s="19">
        <v>0</v>
      </c>
      <c r="AI140" s="18">
        <f t="shared" si="126"/>
        <v>656.30000000000007</v>
      </c>
      <c r="AJ140" s="19">
        <v>0</v>
      </c>
      <c r="AK140" s="19">
        <v>0</v>
      </c>
      <c r="AL140" s="108">
        <f>561.7+94.6</f>
        <v>656.30000000000007</v>
      </c>
      <c r="AM140" s="19">
        <v>0</v>
      </c>
    </row>
    <row r="141" spans="1:39" s="2" customFormat="1" ht="31.5" outlineLevel="2" x14ac:dyDescent="0.25">
      <c r="A141" s="8" t="s">
        <v>173</v>
      </c>
      <c r="B141" s="17" t="s">
        <v>61</v>
      </c>
      <c r="C141" s="26" t="s">
        <v>32</v>
      </c>
      <c r="D141" s="26" t="s">
        <v>118</v>
      </c>
      <c r="E141" s="20">
        <f>SUM(F141:I141)</f>
        <v>6551</v>
      </c>
      <c r="F141" s="38">
        <f>K141+P141+U141</f>
        <v>0</v>
      </c>
      <c r="G141" s="38">
        <f t="shared" si="128"/>
        <v>0</v>
      </c>
      <c r="H141" s="38">
        <f t="shared" si="128"/>
        <v>6551</v>
      </c>
      <c r="I141" s="38">
        <f t="shared" si="128"/>
        <v>0</v>
      </c>
      <c r="J141" s="18">
        <f t="shared" si="122"/>
        <v>214.3</v>
      </c>
      <c r="K141" s="19">
        <v>0</v>
      </c>
      <c r="L141" s="19">
        <v>0</v>
      </c>
      <c r="M141" s="19">
        <v>214.3</v>
      </c>
      <c r="N141" s="38">
        <v>0</v>
      </c>
      <c r="O141" s="18">
        <f t="shared" si="123"/>
        <v>1242.2</v>
      </c>
      <c r="P141" s="19">
        <v>0</v>
      </c>
      <c r="Q141" s="19">
        <v>0</v>
      </c>
      <c r="R141" s="19">
        <f>918.7+323.5</f>
        <v>1242.2</v>
      </c>
      <c r="S141" s="19">
        <v>0</v>
      </c>
      <c r="T141" s="18">
        <f t="shared" si="127"/>
        <v>1244.1000000000001</v>
      </c>
      <c r="U141" s="19">
        <v>0</v>
      </c>
      <c r="V141" s="19">
        <v>0</v>
      </c>
      <c r="W141" s="19">
        <f>283.2+940.2+20.7</f>
        <v>1244.1000000000001</v>
      </c>
      <c r="X141" s="19">
        <v>0</v>
      </c>
      <c r="Y141" s="18">
        <f t="shared" si="124"/>
        <v>1414</v>
      </c>
      <c r="Z141" s="19">
        <v>0</v>
      </c>
      <c r="AA141" s="19">
        <v>0</v>
      </c>
      <c r="AB141" s="108">
        <f>982.9+431.1</f>
        <v>1414</v>
      </c>
      <c r="AC141" s="19">
        <v>0</v>
      </c>
      <c r="AD141" s="18">
        <f t="shared" si="125"/>
        <v>1194.3</v>
      </c>
      <c r="AE141" s="19">
        <v>0</v>
      </c>
      <c r="AF141" s="19">
        <v>0</v>
      </c>
      <c r="AG141" s="108">
        <f>1022.2+172.1</f>
        <v>1194.3</v>
      </c>
      <c r="AH141" s="19">
        <v>0</v>
      </c>
      <c r="AI141" s="18">
        <f t="shared" si="126"/>
        <v>1242.0999999999999</v>
      </c>
      <c r="AJ141" s="19">
        <v>0</v>
      </c>
      <c r="AK141" s="19">
        <v>0</v>
      </c>
      <c r="AL141" s="108">
        <f>1063.1+179</f>
        <v>1242.0999999999999</v>
      </c>
      <c r="AM141" s="19">
        <v>0</v>
      </c>
    </row>
    <row r="142" spans="1:39" s="2" customFormat="1" ht="31.5" outlineLevel="2" x14ac:dyDescent="0.25">
      <c r="A142" s="8" t="s">
        <v>174</v>
      </c>
      <c r="B142" s="17" t="s">
        <v>54</v>
      </c>
      <c r="C142" s="26" t="s">
        <v>32</v>
      </c>
      <c r="D142" s="26" t="s">
        <v>118</v>
      </c>
      <c r="E142" s="20">
        <f t="shared" si="120"/>
        <v>8100.1</v>
      </c>
      <c r="F142" s="38">
        <f t="shared" si="121"/>
        <v>0</v>
      </c>
      <c r="G142" s="38">
        <f t="shared" si="128"/>
        <v>0</v>
      </c>
      <c r="H142" s="38">
        <f t="shared" si="128"/>
        <v>8100.1</v>
      </c>
      <c r="I142" s="38">
        <f t="shared" si="128"/>
        <v>0</v>
      </c>
      <c r="J142" s="18">
        <f t="shared" si="122"/>
        <v>0</v>
      </c>
      <c r="K142" s="19">
        <v>0</v>
      </c>
      <c r="L142" s="19">
        <v>0</v>
      </c>
      <c r="M142" s="19">
        <v>0</v>
      </c>
      <c r="N142" s="38">
        <v>0</v>
      </c>
      <c r="O142" s="18">
        <f t="shared" si="123"/>
        <v>1587.8</v>
      </c>
      <c r="P142" s="19">
        <v>0</v>
      </c>
      <c r="Q142" s="19">
        <v>0</v>
      </c>
      <c r="R142" s="19">
        <f>1174.3+413.5</f>
        <v>1587.8</v>
      </c>
      <c r="S142" s="19">
        <v>0</v>
      </c>
      <c r="T142" s="18">
        <f t="shared" si="127"/>
        <v>1590.4</v>
      </c>
      <c r="U142" s="19">
        <v>0</v>
      </c>
      <c r="V142" s="19">
        <v>0</v>
      </c>
      <c r="W142" s="19">
        <f>362+1201.9+26.5</f>
        <v>1590.4</v>
      </c>
      <c r="X142" s="19">
        <v>0</v>
      </c>
      <c r="Y142" s="18">
        <f t="shared" si="124"/>
        <v>1807.4</v>
      </c>
      <c r="Z142" s="19">
        <v>0</v>
      </c>
      <c r="AA142" s="19">
        <v>0</v>
      </c>
      <c r="AB142" s="108">
        <f>1256.4+551</f>
        <v>1807.4</v>
      </c>
      <c r="AC142" s="19">
        <v>0</v>
      </c>
      <c r="AD142" s="18">
        <f t="shared" si="125"/>
        <v>1526.7</v>
      </c>
      <c r="AE142" s="19">
        <v>0</v>
      </c>
      <c r="AF142" s="19">
        <v>0</v>
      </c>
      <c r="AG142" s="108">
        <f>1306.7+220</f>
        <v>1526.7</v>
      </c>
      <c r="AH142" s="19">
        <v>0</v>
      </c>
      <c r="AI142" s="18">
        <f t="shared" si="126"/>
        <v>1587.8000000000002</v>
      </c>
      <c r="AJ142" s="19">
        <v>0</v>
      </c>
      <c r="AK142" s="19">
        <v>0</v>
      </c>
      <c r="AL142" s="108">
        <f>1358.9+228.9</f>
        <v>1587.8000000000002</v>
      </c>
      <c r="AM142" s="19">
        <v>0</v>
      </c>
    </row>
    <row r="143" spans="1:39" s="2" customFormat="1" ht="31.5" outlineLevel="2" x14ac:dyDescent="0.25">
      <c r="A143" s="8" t="s">
        <v>175</v>
      </c>
      <c r="B143" s="17" t="s">
        <v>55</v>
      </c>
      <c r="C143" s="26" t="s">
        <v>32</v>
      </c>
      <c r="D143" s="26" t="s">
        <v>118</v>
      </c>
      <c r="E143" s="20">
        <f t="shared" si="120"/>
        <v>4566.2</v>
      </c>
      <c r="F143" s="38">
        <f t="shared" si="121"/>
        <v>0</v>
      </c>
      <c r="G143" s="38">
        <f t="shared" si="128"/>
        <v>0</v>
      </c>
      <c r="H143" s="38">
        <f t="shared" si="128"/>
        <v>4566.2</v>
      </c>
      <c r="I143" s="38">
        <f t="shared" si="128"/>
        <v>0</v>
      </c>
      <c r="J143" s="18">
        <f t="shared" si="122"/>
        <v>771.3</v>
      </c>
      <c r="K143" s="19">
        <v>0</v>
      </c>
      <c r="L143" s="19">
        <v>0</v>
      </c>
      <c r="M143" s="19">
        <v>771.3</v>
      </c>
      <c r="N143" s="38">
        <v>0</v>
      </c>
      <c r="O143" s="18">
        <f t="shared" si="123"/>
        <v>743.8</v>
      </c>
      <c r="P143" s="19">
        <v>0</v>
      </c>
      <c r="Q143" s="19">
        <v>0</v>
      </c>
      <c r="R143" s="19">
        <f>550.1+193.7</f>
        <v>743.8</v>
      </c>
      <c r="S143" s="19">
        <v>0</v>
      </c>
      <c r="T143" s="18">
        <f t="shared" si="127"/>
        <v>745.4</v>
      </c>
      <c r="U143" s="19">
        <v>0</v>
      </c>
      <c r="V143" s="19">
        <v>0</v>
      </c>
      <c r="W143" s="19">
        <f>170+563+12.4</f>
        <v>745.4</v>
      </c>
      <c r="X143" s="19">
        <v>0</v>
      </c>
      <c r="Y143" s="18">
        <f t="shared" si="124"/>
        <v>846.7</v>
      </c>
      <c r="Z143" s="19">
        <v>0</v>
      </c>
      <c r="AA143" s="19">
        <v>0</v>
      </c>
      <c r="AB143" s="108">
        <f>588.6+258.1</f>
        <v>846.7</v>
      </c>
      <c r="AC143" s="19">
        <v>0</v>
      </c>
      <c r="AD143" s="18">
        <f t="shared" si="125"/>
        <v>715.2</v>
      </c>
      <c r="AE143" s="19">
        <v>0</v>
      </c>
      <c r="AF143" s="19">
        <v>0</v>
      </c>
      <c r="AG143" s="108">
        <f>612.1+103.1</f>
        <v>715.2</v>
      </c>
      <c r="AH143" s="19">
        <v>0</v>
      </c>
      <c r="AI143" s="18">
        <f t="shared" si="126"/>
        <v>743.80000000000007</v>
      </c>
      <c r="AJ143" s="19">
        <v>0</v>
      </c>
      <c r="AK143" s="19">
        <v>0</v>
      </c>
      <c r="AL143" s="108">
        <f>636.6+107.2</f>
        <v>743.80000000000007</v>
      </c>
      <c r="AM143" s="19">
        <v>0</v>
      </c>
    </row>
    <row r="144" spans="1:39" s="2" customFormat="1" ht="31.5" outlineLevel="2" x14ac:dyDescent="0.25">
      <c r="A144" s="8" t="s">
        <v>176</v>
      </c>
      <c r="B144" s="17" t="s">
        <v>56</v>
      </c>
      <c r="C144" s="26" t="s">
        <v>32</v>
      </c>
      <c r="D144" s="26" t="s">
        <v>118</v>
      </c>
      <c r="E144" s="20">
        <f t="shared" si="120"/>
        <v>3954.1</v>
      </c>
      <c r="F144" s="38">
        <f t="shared" si="121"/>
        <v>0</v>
      </c>
      <c r="G144" s="38">
        <f t="shared" si="128"/>
        <v>0</v>
      </c>
      <c r="H144" s="38">
        <f t="shared" si="128"/>
        <v>3954.1</v>
      </c>
      <c r="I144" s="38">
        <f t="shared" si="128"/>
        <v>0</v>
      </c>
      <c r="J144" s="18">
        <f t="shared" si="122"/>
        <v>668</v>
      </c>
      <c r="K144" s="19">
        <v>0</v>
      </c>
      <c r="L144" s="19">
        <v>0</v>
      </c>
      <c r="M144" s="19">
        <v>668</v>
      </c>
      <c r="N144" s="38">
        <v>0</v>
      </c>
      <c r="O144" s="18">
        <f t="shared" si="123"/>
        <v>644.20000000000005</v>
      </c>
      <c r="P144" s="19">
        <v>0</v>
      </c>
      <c r="Q144" s="19">
        <v>0</v>
      </c>
      <c r="R144" s="19">
        <f>476.4+167.8</f>
        <v>644.20000000000005</v>
      </c>
      <c r="S144" s="19">
        <v>0</v>
      </c>
      <c r="T144" s="18">
        <f t="shared" si="127"/>
        <v>645.30000000000007</v>
      </c>
      <c r="U144" s="19">
        <v>0</v>
      </c>
      <c r="V144" s="19">
        <v>0</v>
      </c>
      <c r="W144" s="19">
        <f>147+487.6+10.7</f>
        <v>645.30000000000007</v>
      </c>
      <c r="X144" s="19">
        <v>0</v>
      </c>
      <c r="Y144" s="18">
        <f t="shared" si="124"/>
        <v>733.2</v>
      </c>
      <c r="Z144" s="19">
        <v>0</v>
      </c>
      <c r="AA144" s="19">
        <v>0</v>
      </c>
      <c r="AB144" s="108">
        <f>509.7+223.5</f>
        <v>733.2</v>
      </c>
      <c r="AC144" s="19">
        <v>0</v>
      </c>
      <c r="AD144" s="18">
        <f t="shared" si="125"/>
        <v>619.30000000000007</v>
      </c>
      <c r="AE144" s="19">
        <v>0</v>
      </c>
      <c r="AF144" s="19">
        <v>0</v>
      </c>
      <c r="AG144" s="108">
        <f>530.1+89.2</f>
        <v>619.30000000000007</v>
      </c>
      <c r="AH144" s="19">
        <v>0</v>
      </c>
      <c r="AI144" s="18">
        <f t="shared" si="126"/>
        <v>644.09999999999991</v>
      </c>
      <c r="AJ144" s="19">
        <v>0</v>
      </c>
      <c r="AK144" s="19">
        <v>0</v>
      </c>
      <c r="AL144" s="108">
        <f>551.3+92.8</f>
        <v>644.09999999999991</v>
      </c>
      <c r="AM144" s="19">
        <v>0</v>
      </c>
    </row>
    <row r="145" spans="1:39" s="2" customFormat="1" ht="31.5" outlineLevel="2" x14ac:dyDescent="0.25">
      <c r="A145" s="8" t="s">
        <v>177</v>
      </c>
      <c r="B145" s="17" t="s">
        <v>58</v>
      </c>
      <c r="C145" s="26" t="s">
        <v>32</v>
      </c>
      <c r="D145" s="26" t="s">
        <v>118</v>
      </c>
      <c r="E145" s="20">
        <f t="shared" si="120"/>
        <v>4219.8999999999996</v>
      </c>
      <c r="F145" s="38">
        <f t="shared" si="121"/>
        <v>0</v>
      </c>
      <c r="G145" s="38">
        <f t="shared" si="128"/>
        <v>0</v>
      </c>
      <c r="H145" s="38">
        <f t="shared" si="128"/>
        <v>4219.8999999999996</v>
      </c>
      <c r="I145" s="38">
        <f t="shared" si="128"/>
        <v>0</v>
      </c>
      <c r="J145" s="18">
        <f t="shared" si="122"/>
        <v>634.19999999999993</v>
      </c>
      <c r="K145" s="19">
        <v>0</v>
      </c>
      <c r="L145" s="19">
        <v>0</v>
      </c>
      <c r="M145" s="19">
        <v>634.19999999999993</v>
      </c>
      <c r="N145" s="38">
        <v>0</v>
      </c>
      <c r="O145" s="18">
        <f t="shared" si="123"/>
        <v>632</v>
      </c>
      <c r="P145" s="19">
        <v>0</v>
      </c>
      <c r="Q145" s="19">
        <v>0</v>
      </c>
      <c r="R145" s="19">
        <f>467.4+164.6</f>
        <v>632</v>
      </c>
      <c r="S145" s="19">
        <v>0</v>
      </c>
      <c r="T145" s="18">
        <f t="shared" si="127"/>
        <v>633</v>
      </c>
      <c r="U145" s="19">
        <v>0</v>
      </c>
      <c r="V145" s="19">
        <v>0</v>
      </c>
      <c r="W145" s="19">
        <f>144.1+478.4+10.5</f>
        <v>633</v>
      </c>
      <c r="X145" s="19">
        <v>0</v>
      </c>
      <c r="Y145" s="18">
        <f t="shared" si="124"/>
        <v>1081</v>
      </c>
      <c r="Z145" s="19">
        <v>0</v>
      </c>
      <c r="AA145" s="19">
        <v>0</v>
      </c>
      <c r="AB145" s="107">
        <f>500.1+219.3+361.6</f>
        <v>1081</v>
      </c>
      <c r="AC145" s="19">
        <v>0</v>
      </c>
      <c r="AD145" s="18">
        <f t="shared" si="125"/>
        <v>607.70000000000005</v>
      </c>
      <c r="AE145" s="19">
        <v>0</v>
      </c>
      <c r="AF145" s="19">
        <v>0</v>
      </c>
      <c r="AG145" s="108">
        <f>520.1+87.6</f>
        <v>607.70000000000005</v>
      </c>
      <c r="AH145" s="19">
        <v>0</v>
      </c>
      <c r="AI145" s="18">
        <f t="shared" si="126"/>
        <v>632</v>
      </c>
      <c r="AJ145" s="19">
        <v>0</v>
      </c>
      <c r="AK145" s="19">
        <v>0</v>
      </c>
      <c r="AL145" s="108">
        <f>540.9+91.1</f>
        <v>632</v>
      </c>
      <c r="AM145" s="19">
        <v>0</v>
      </c>
    </row>
    <row r="146" spans="1:39" s="2" customFormat="1" ht="31.5" outlineLevel="2" x14ac:dyDescent="0.25">
      <c r="A146" s="8" t="s">
        <v>289</v>
      </c>
      <c r="B146" s="17" t="s">
        <v>290</v>
      </c>
      <c r="C146" s="26" t="s">
        <v>32</v>
      </c>
      <c r="D146" s="26" t="s">
        <v>118</v>
      </c>
      <c r="E146" s="20">
        <f>SUM(F146:I146)</f>
        <v>2220.4</v>
      </c>
      <c r="F146" s="38">
        <f>K146+P146+U146</f>
        <v>0</v>
      </c>
      <c r="G146" s="38">
        <f t="shared" si="128"/>
        <v>0</v>
      </c>
      <c r="H146" s="38">
        <f t="shared" si="128"/>
        <v>2220.4</v>
      </c>
      <c r="I146" s="38">
        <f t="shared" si="128"/>
        <v>0</v>
      </c>
      <c r="J146" s="18">
        <f>SUM(K146:N146)</f>
        <v>2220.4</v>
      </c>
      <c r="K146" s="19">
        <v>0</v>
      </c>
      <c r="L146" s="19">
        <v>0</v>
      </c>
      <c r="M146" s="19">
        <f>853.7-375.3+79.2+1662.8</f>
        <v>2220.4</v>
      </c>
      <c r="N146" s="38">
        <v>0</v>
      </c>
      <c r="O146" s="18">
        <f t="shared" si="123"/>
        <v>0</v>
      </c>
      <c r="P146" s="19">
        <v>0</v>
      </c>
      <c r="Q146" s="19">
        <v>0</v>
      </c>
      <c r="R146" s="19">
        <f>4715.3-4715.3</f>
        <v>0</v>
      </c>
      <c r="S146" s="19">
        <v>0</v>
      </c>
      <c r="T146" s="18">
        <f t="shared" si="127"/>
        <v>0</v>
      </c>
      <c r="U146" s="19">
        <v>0</v>
      </c>
      <c r="V146" s="19">
        <v>0</v>
      </c>
      <c r="W146" s="19">
        <v>0</v>
      </c>
      <c r="X146" s="19">
        <v>0</v>
      </c>
      <c r="Y146" s="18">
        <f>SUM(Z146:AC146)</f>
        <v>0</v>
      </c>
      <c r="Z146" s="19">
        <v>0</v>
      </c>
      <c r="AA146" s="19">
        <v>0</v>
      </c>
      <c r="AB146" s="19">
        <v>0</v>
      </c>
      <c r="AC146" s="19">
        <v>0</v>
      </c>
      <c r="AD146" s="18">
        <f>SUM(AE146:AH146)</f>
        <v>0</v>
      </c>
      <c r="AE146" s="19">
        <v>0</v>
      </c>
      <c r="AF146" s="19">
        <v>0</v>
      </c>
      <c r="AG146" s="19">
        <v>0</v>
      </c>
      <c r="AH146" s="19">
        <v>0</v>
      </c>
      <c r="AI146" s="18">
        <f t="shared" si="126"/>
        <v>0</v>
      </c>
      <c r="AJ146" s="19">
        <v>0</v>
      </c>
      <c r="AK146" s="19">
        <v>0</v>
      </c>
      <c r="AL146" s="19">
        <v>0</v>
      </c>
      <c r="AM146" s="19">
        <v>0</v>
      </c>
    </row>
    <row r="147" spans="1:39" s="5" customFormat="1" ht="62.25" customHeight="1" outlineLevel="1" x14ac:dyDescent="0.25">
      <c r="A147" s="165" t="s">
        <v>178</v>
      </c>
      <c r="B147" s="194" t="s">
        <v>13</v>
      </c>
      <c r="C147" s="195"/>
      <c r="D147" s="195"/>
      <c r="E147" s="18">
        <f>E148+E156+E173+E186</f>
        <v>72034.500000000015</v>
      </c>
      <c r="F147" s="18">
        <f t="shared" ref="F147:AM147" si="129">F148+F156+F173+F186</f>
        <v>0</v>
      </c>
      <c r="G147" s="18">
        <f t="shared" si="129"/>
        <v>0</v>
      </c>
      <c r="H147" s="18">
        <f t="shared" si="129"/>
        <v>72034.500000000015</v>
      </c>
      <c r="I147" s="18">
        <f t="shared" si="129"/>
        <v>0</v>
      </c>
      <c r="J147" s="18">
        <f t="shared" si="129"/>
        <v>19726.900000000001</v>
      </c>
      <c r="K147" s="18">
        <f t="shared" si="129"/>
        <v>0</v>
      </c>
      <c r="L147" s="18">
        <f t="shared" si="129"/>
        <v>0</v>
      </c>
      <c r="M147" s="18">
        <f t="shared" si="129"/>
        <v>19726.900000000001</v>
      </c>
      <c r="N147" s="18">
        <f t="shared" si="129"/>
        <v>0</v>
      </c>
      <c r="O147" s="18">
        <f t="shared" si="129"/>
        <v>4580</v>
      </c>
      <c r="P147" s="18">
        <f t="shared" si="129"/>
        <v>0</v>
      </c>
      <c r="Q147" s="18">
        <f t="shared" si="129"/>
        <v>0</v>
      </c>
      <c r="R147" s="18">
        <f t="shared" si="129"/>
        <v>4580</v>
      </c>
      <c r="S147" s="18">
        <f t="shared" si="129"/>
        <v>0</v>
      </c>
      <c r="T147" s="18">
        <f t="shared" si="129"/>
        <v>25209.3</v>
      </c>
      <c r="U147" s="18">
        <f t="shared" si="129"/>
        <v>0</v>
      </c>
      <c r="V147" s="18">
        <f t="shared" si="129"/>
        <v>0</v>
      </c>
      <c r="W147" s="18">
        <f t="shared" si="129"/>
        <v>25209.3</v>
      </c>
      <c r="X147" s="18">
        <f t="shared" si="129"/>
        <v>0</v>
      </c>
      <c r="Y147" s="18">
        <f t="shared" si="129"/>
        <v>9191.5999999999985</v>
      </c>
      <c r="Z147" s="18">
        <f t="shared" si="129"/>
        <v>0</v>
      </c>
      <c r="AA147" s="18">
        <f t="shared" si="129"/>
        <v>0</v>
      </c>
      <c r="AB147" s="18">
        <f t="shared" si="129"/>
        <v>9191.5999999999985</v>
      </c>
      <c r="AC147" s="18">
        <f t="shared" si="129"/>
        <v>0</v>
      </c>
      <c r="AD147" s="18">
        <f t="shared" si="129"/>
        <v>12054.2</v>
      </c>
      <c r="AE147" s="18">
        <f t="shared" si="129"/>
        <v>0</v>
      </c>
      <c r="AF147" s="18">
        <f t="shared" si="129"/>
        <v>0</v>
      </c>
      <c r="AG147" s="18">
        <f t="shared" si="129"/>
        <v>12054.2</v>
      </c>
      <c r="AH147" s="18">
        <f t="shared" si="129"/>
        <v>0</v>
      </c>
      <c r="AI147" s="18">
        <f t="shared" si="129"/>
        <v>1272.5</v>
      </c>
      <c r="AJ147" s="18">
        <f t="shared" si="129"/>
        <v>0</v>
      </c>
      <c r="AK147" s="18">
        <f t="shared" si="129"/>
        <v>0</v>
      </c>
      <c r="AL147" s="18">
        <f t="shared" si="129"/>
        <v>1272.5</v>
      </c>
      <c r="AM147" s="18">
        <f t="shared" si="129"/>
        <v>0</v>
      </c>
    </row>
    <row r="148" spans="1:39" s="2" customFormat="1" ht="52.5" customHeight="1" outlineLevel="2" x14ac:dyDescent="0.25">
      <c r="A148" s="165" t="s">
        <v>79</v>
      </c>
      <c r="B148" s="196" t="s">
        <v>711</v>
      </c>
      <c r="C148" s="196"/>
      <c r="D148" s="197"/>
      <c r="E148" s="20">
        <f>SUM(E149:E155)</f>
        <v>44286.200000000004</v>
      </c>
      <c r="F148" s="20">
        <f t="shared" ref="F148:AM148" si="130">SUM(F149:F155)</f>
        <v>0</v>
      </c>
      <c r="G148" s="20">
        <f t="shared" si="130"/>
        <v>0</v>
      </c>
      <c r="H148" s="20">
        <f t="shared" si="130"/>
        <v>44286.200000000004</v>
      </c>
      <c r="I148" s="20">
        <f t="shared" si="130"/>
        <v>0</v>
      </c>
      <c r="J148" s="20">
        <f t="shared" si="130"/>
        <v>13583.4</v>
      </c>
      <c r="K148" s="20">
        <f t="shared" si="130"/>
        <v>0</v>
      </c>
      <c r="L148" s="20">
        <f t="shared" si="130"/>
        <v>0</v>
      </c>
      <c r="M148" s="20">
        <f t="shared" si="130"/>
        <v>13583.4</v>
      </c>
      <c r="N148" s="20">
        <f t="shared" si="130"/>
        <v>0</v>
      </c>
      <c r="O148" s="20">
        <f t="shared" si="130"/>
        <v>1050.9000000000001</v>
      </c>
      <c r="P148" s="20">
        <f t="shared" si="130"/>
        <v>0</v>
      </c>
      <c r="Q148" s="20">
        <f t="shared" si="130"/>
        <v>0</v>
      </c>
      <c r="R148" s="20">
        <f t="shared" si="130"/>
        <v>1050.9000000000001</v>
      </c>
      <c r="S148" s="20">
        <f t="shared" si="130"/>
        <v>0</v>
      </c>
      <c r="T148" s="20">
        <f t="shared" si="130"/>
        <v>20909.099999999999</v>
      </c>
      <c r="U148" s="20">
        <f t="shared" si="130"/>
        <v>0</v>
      </c>
      <c r="V148" s="20">
        <f t="shared" si="130"/>
        <v>0</v>
      </c>
      <c r="W148" s="20">
        <f t="shared" si="130"/>
        <v>20909.099999999999</v>
      </c>
      <c r="X148" s="20">
        <f t="shared" si="130"/>
        <v>0</v>
      </c>
      <c r="Y148" s="20">
        <f t="shared" si="130"/>
        <v>942.8</v>
      </c>
      <c r="Z148" s="20">
        <f t="shared" si="130"/>
        <v>0</v>
      </c>
      <c r="AA148" s="20">
        <f t="shared" si="130"/>
        <v>0</v>
      </c>
      <c r="AB148" s="20">
        <f t="shared" si="130"/>
        <v>942.8</v>
      </c>
      <c r="AC148" s="20">
        <f t="shared" si="130"/>
        <v>0</v>
      </c>
      <c r="AD148" s="20">
        <f t="shared" si="130"/>
        <v>7800</v>
      </c>
      <c r="AE148" s="20">
        <f t="shared" si="130"/>
        <v>0</v>
      </c>
      <c r="AF148" s="20">
        <f t="shared" si="130"/>
        <v>0</v>
      </c>
      <c r="AG148" s="20">
        <f t="shared" si="130"/>
        <v>7800</v>
      </c>
      <c r="AH148" s="20">
        <f t="shared" si="130"/>
        <v>0</v>
      </c>
      <c r="AI148" s="20">
        <f t="shared" si="130"/>
        <v>0</v>
      </c>
      <c r="AJ148" s="20">
        <f t="shared" si="130"/>
        <v>0</v>
      </c>
      <c r="AK148" s="20">
        <f t="shared" si="130"/>
        <v>0</v>
      </c>
      <c r="AL148" s="20">
        <f t="shared" si="130"/>
        <v>0</v>
      </c>
      <c r="AM148" s="20">
        <f t="shared" si="130"/>
        <v>0</v>
      </c>
    </row>
    <row r="149" spans="1:39" s="2" customFormat="1" ht="78.75" outlineLevel="3" x14ac:dyDescent="0.25">
      <c r="A149" s="8" t="s">
        <v>87</v>
      </c>
      <c r="B149" s="17" t="s">
        <v>14</v>
      </c>
      <c r="C149" s="24" t="s">
        <v>376</v>
      </c>
      <c r="D149" s="26" t="s">
        <v>8</v>
      </c>
      <c r="E149" s="20">
        <f t="shared" ref="E149:E154" si="131">SUM(F149:I149)</f>
        <v>13133.4</v>
      </c>
      <c r="F149" s="38">
        <f>K149+P149+U149</f>
        <v>0</v>
      </c>
      <c r="G149" s="38">
        <f t="shared" ref="G149:I151" si="132">L149+Q149+V149+AA149+AF149+AK149</f>
        <v>0</v>
      </c>
      <c r="H149" s="38">
        <f t="shared" si="132"/>
        <v>13133.4</v>
      </c>
      <c r="I149" s="38">
        <f t="shared" si="132"/>
        <v>0</v>
      </c>
      <c r="J149" s="18">
        <f>SUM(K149:N149)</f>
        <v>13133.4</v>
      </c>
      <c r="K149" s="19">
        <v>0</v>
      </c>
      <c r="L149" s="19">
        <v>0</v>
      </c>
      <c r="M149" s="38">
        <v>13133.4</v>
      </c>
      <c r="N149" s="38">
        <v>0</v>
      </c>
      <c r="O149" s="18">
        <f>SUM(P149:S149)</f>
        <v>0</v>
      </c>
      <c r="P149" s="19">
        <v>0</v>
      </c>
      <c r="Q149" s="38">
        <v>0</v>
      </c>
      <c r="R149" s="38">
        <v>0</v>
      </c>
      <c r="S149" s="38">
        <v>0</v>
      </c>
      <c r="T149" s="18">
        <f>SUM(U149:X149)</f>
        <v>0</v>
      </c>
      <c r="U149" s="19">
        <v>0</v>
      </c>
      <c r="V149" s="19">
        <v>0</v>
      </c>
      <c r="W149" s="19">
        <v>0</v>
      </c>
      <c r="X149" s="19">
        <v>0</v>
      </c>
      <c r="Y149" s="18">
        <f>SUM(Z149:AC149)</f>
        <v>0</v>
      </c>
      <c r="Z149" s="19">
        <v>0</v>
      </c>
      <c r="AA149" s="19">
        <v>0</v>
      </c>
      <c r="AB149" s="19">
        <v>0</v>
      </c>
      <c r="AC149" s="19">
        <v>0</v>
      </c>
      <c r="AD149" s="18">
        <f>SUM(AE149:AH149)</f>
        <v>0</v>
      </c>
      <c r="AE149" s="19">
        <v>0</v>
      </c>
      <c r="AF149" s="38">
        <f>AK149+AP149+AU149</f>
        <v>0</v>
      </c>
      <c r="AG149" s="19">
        <v>0</v>
      </c>
      <c r="AH149" s="38">
        <f>AM149+AR149+AW149</f>
        <v>0</v>
      </c>
      <c r="AI149" s="18">
        <f>SUM(AJ149:AM149)</f>
        <v>0</v>
      </c>
      <c r="AJ149" s="19">
        <v>0</v>
      </c>
      <c r="AK149" s="38">
        <v>0</v>
      </c>
      <c r="AL149" s="38">
        <v>0</v>
      </c>
      <c r="AM149" s="38">
        <v>0</v>
      </c>
    </row>
    <row r="150" spans="1:39" s="2" customFormat="1" ht="47.25" outlineLevel="3" x14ac:dyDescent="0.25">
      <c r="A150" s="8" t="s">
        <v>88</v>
      </c>
      <c r="B150" s="9" t="s">
        <v>308</v>
      </c>
      <c r="C150" s="26" t="s">
        <v>31</v>
      </c>
      <c r="D150" s="26" t="s">
        <v>8</v>
      </c>
      <c r="E150" s="20">
        <f t="shared" si="131"/>
        <v>450</v>
      </c>
      <c r="F150" s="20">
        <f>K150</f>
        <v>0</v>
      </c>
      <c r="G150" s="38">
        <f t="shared" si="132"/>
        <v>0</v>
      </c>
      <c r="H150" s="38">
        <f t="shared" si="132"/>
        <v>450</v>
      </c>
      <c r="I150" s="38">
        <f t="shared" si="132"/>
        <v>0</v>
      </c>
      <c r="J150" s="18">
        <f>SUM(K150:N150)</f>
        <v>450</v>
      </c>
      <c r="K150" s="19">
        <v>0</v>
      </c>
      <c r="L150" s="19">
        <v>0</v>
      </c>
      <c r="M150" s="38">
        <f>601.1-151.1</f>
        <v>450</v>
      </c>
      <c r="N150" s="20">
        <v>0</v>
      </c>
      <c r="O150" s="18">
        <f>SUM(P150:S150)</f>
        <v>0</v>
      </c>
      <c r="P150" s="19">
        <v>0</v>
      </c>
      <c r="Q150" s="38">
        <v>0</v>
      </c>
      <c r="R150" s="38">
        <v>0</v>
      </c>
      <c r="S150" s="38">
        <v>0</v>
      </c>
      <c r="T150" s="18">
        <f>SUM(U150:X150)</f>
        <v>0</v>
      </c>
      <c r="U150" s="19">
        <v>0</v>
      </c>
      <c r="V150" s="19">
        <v>0</v>
      </c>
      <c r="W150" s="19">
        <v>0</v>
      </c>
      <c r="X150" s="19">
        <v>0</v>
      </c>
      <c r="Y150" s="18">
        <f>SUM(Z150:AC150)</f>
        <v>0</v>
      </c>
      <c r="Z150" s="19">
        <v>0</v>
      </c>
      <c r="AA150" s="19">
        <v>0</v>
      </c>
      <c r="AB150" s="19">
        <v>0</v>
      </c>
      <c r="AC150" s="19">
        <v>0</v>
      </c>
      <c r="AD150" s="18">
        <f>SUM(AE150:AH150)</f>
        <v>0</v>
      </c>
      <c r="AE150" s="19">
        <v>0</v>
      </c>
      <c r="AF150" s="20">
        <f>AK150</f>
        <v>0</v>
      </c>
      <c r="AG150" s="19">
        <v>0</v>
      </c>
      <c r="AH150" s="20">
        <f>AM150</f>
        <v>0</v>
      </c>
      <c r="AI150" s="18">
        <f>SUM(AJ150:AM150)</f>
        <v>0</v>
      </c>
      <c r="AJ150" s="19">
        <v>0</v>
      </c>
      <c r="AK150" s="20">
        <v>0</v>
      </c>
      <c r="AL150" s="38">
        <v>0</v>
      </c>
      <c r="AM150" s="38">
        <v>0</v>
      </c>
    </row>
    <row r="151" spans="1:39" s="2" customFormat="1" ht="31.5" outlineLevel="3" x14ac:dyDescent="0.25">
      <c r="A151" s="8" t="s">
        <v>307</v>
      </c>
      <c r="B151" s="28" t="s">
        <v>531</v>
      </c>
      <c r="C151" s="26" t="s">
        <v>32</v>
      </c>
      <c r="D151" s="26" t="s">
        <v>8</v>
      </c>
      <c r="E151" s="20">
        <f t="shared" si="131"/>
        <v>1050.9000000000001</v>
      </c>
      <c r="F151" s="38">
        <f>K151+P151+U151+Z151+AE151+AJ151</f>
        <v>0</v>
      </c>
      <c r="G151" s="38">
        <f t="shared" si="132"/>
        <v>0</v>
      </c>
      <c r="H151" s="38">
        <f t="shared" si="132"/>
        <v>1050.9000000000001</v>
      </c>
      <c r="I151" s="38">
        <f t="shared" si="132"/>
        <v>0</v>
      </c>
      <c r="J151" s="18">
        <f>SUM(K151:N151)</f>
        <v>0</v>
      </c>
      <c r="K151" s="19">
        <v>0</v>
      </c>
      <c r="L151" s="19">
        <v>0</v>
      </c>
      <c r="M151" s="38">
        <v>0</v>
      </c>
      <c r="N151" s="20">
        <v>0</v>
      </c>
      <c r="O151" s="18">
        <f>SUM(P151:S151)</f>
        <v>1050.9000000000001</v>
      </c>
      <c r="P151" s="19">
        <v>0</v>
      </c>
      <c r="Q151" s="38">
        <v>0</v>
      </c>
      <c r="R151" s="38">
        <f>1100.9-50</f>
        <v>1050.9000000000001</v>
      </c>
      <c r="S151" s="38">
        <v>0</v>
      </c>
      <c r="T151" s="18">
        <f>SUM(U151:X151)</f>
        <v>0</v>
      </c>
      <c r="U151" s="19">
        <v>0</v>
      </c>
      <c r="V151" s="19">
        <v>0</v>
      </c>
      <c r="W151" s="19">
        <v>0</v>
      </c>
      <c r="X151" s="19">
        <v>0</v>
      </c>
      <c r="Y151" s="18">
        <f>SUM(Z151:AC151)</f>
        <v>0</v>
      </c>
      <c r="Z151" s="19">
        <v>0</v>
      </c>
      <c r="AA151" s="19">
        <v>0</v>
      </c>
      <c r="AB151" s="19">
        <v>0</v>
      </c>
      <c r="AC151" s="19">
        <v>0</v>
      </c>
      <c r="AD151" s="18">
        <f>SUM(AE151:AH151)</f>
        <v>0</v>
      </c>
      <c r="AE151" s="19">
        <v>0</v>
      </c>
      <c r="AF151" s="20">
        <v>0</v>
      </c>
      <c r="AG151" s="19">
        <v>0</v>
      </c>
      <c r="AH151" s="20">
        <v>0</v>
      </c>
      <c r="AI151" s="18">
        <f>SUM(AJ151:AM151)</f>
        <v>0</v>
      </c>
      <c r="AJ151" s="19">
        <v>0</v>
      </c>
      <c r="AK151" s="20">
        <v>0</v>
      </c>
      <c r="AL151" s="38">
        <v>0</v>
      </c>
      <c r="AM151" s="38">
        <v>0</v>
      </c>
    </row>
    <row r="152" spans="1:39" s="2" customFormat="1" ht="47.25" outlineLevel="3" x14ac:dyDescent="0.25">
      <c r="A152" s="8" t="s">
        <v>779</v>
      </c>
      <c r="B152" s="28" t="s">
        <v>843</v>
      </c>
      <c r="C152" s="26" t="s">
        <v>32</v>
      </c>
      <c r="D152" s="26" t="s">
        <v>8</v>
      </c>
      <c r="E152" s="20">
        <f t="shared" si="131"/>
        <v>909.1</v>
      </c>
      <c r="F152" s="38">
        <f>K152+P152+U152+Z152+AE152+AJ152</f>
        <v>0</v>
      </c>
      <c r="G152" s="38">
        <f t="shared" ref="G152:H154" si="133">L152+Q152+V152+AA152+AF152+AK152</f>
        <v>0</v>
      </c>
      <c r="H152" s="38">
        <f t="shared" si="133"/>
        <v>909.1</v>
      </c>
      <c r="I152" s="38"/>
      <c r="J152" s="18"/>
      <c r="K152" s="19"/>
      <c r="L152" s="19"/>
      <c r="M152" s="38"/>
      <c r="N152" s="20"/>
      <c r="O152" s="18"/>
      <c r="P152" s="19"/>
      <c r="Q152" s="38"/>
      <c r="R152" s="38"/>
      <c r="S152" s="38"/>
      <c r="T152" s="18">
        <f>W152</f>
        <v>909.1</v>
      </c>
      <c r="U152" s="19"/>
      <c r="V152" s="19"/>
      <c r="W152" s="19">
        <f>999-89.9</f>
        <v>909.1</v>
      </c>
      <c r="X152" s="19"/>
      <c r="Y152" s="18"/>
      <c r="Z152" s="19"/>
      <c r="AA152" s="19"/>
      <c r="AB152" s="19"/>
      <c r="AC152" s="19"/>
      <c r="AD152" s="18"/>
      <c r="AE152" s="19"/>
      <c r="AF152" s="20"/>
      <c r="AG152" s="19"/>
      <c r="AH152" s="20"/>
      <c r="AI152" s="18"/>
      <c r="AJ152" s="19"/>
      <c r="AK152" s="20"/>
      <c r="AL152" s="38"/>
      <c r="AM152" s="38"/>
    </row>
    <row r="153" spans="1:39" s="2" customFormat="1" ht="54" customHeight="1" outlineLevel="3" x14ac:dyDescent="0.25">
      <c r="A153" s="8" t="s">
        <v>842</v>
      </c>
      <c r="B153" s="28" t="s">
        <v>780</v>
      </c>
      <c r="C153" s="26" t="s">
        <v>32</v>
      </c>
      <c r="D153" s="26" t="s">
        <v>8</v>
      </c>
      <c r="E153" s="20">
        <f t="shared" si="131"/>
        <v>20000</v>
      </c>
      <c r="F153" s="38">
        <f>K153+P153+U153+Z153+AE153+AJ153</f>
        <v>0</v>
      </c>
      <c r="G153" s="38">
        <f t="shared" si="133"/>
        <v>0</v>
      </c>
      <c r="H153" s="38">
        <f t="shared" si="133"/>
        <v>20000</v>
      </c>
      <c r="I153" s="38">
        <f>N153+S153+X153+AC153+AH153+AM153</f>
        <v>0</v>
      </c>
      <c r="J153" s="18">
        <f>SUM(K153:N153)</f>
        <v>0</v>
      </c>
      <c r="K153" s="19">
        <v>0</v>
      </c>
      <c r="L153" s="19">
        <v>0</v>
      </c>
      <c r="M153" s="38">
        <v>0</v>
      </c>
      <c r="N153" s="20">
        <v>0</v>
      </c>
      <c r="O153" s="18">
        <f>SUM(P153:S153)</f>
        <v>0</v>
      </c>
      <c r="P153" s="19">
        <v>0</v>
      </c>
      <c r="Q153" s="38">
        <v>0</v>
      </c>
      <c r="R153" s="38">
        <v>0</v>
      </c>
      <c r="S153" s="38">
        <v>0</v>
      </c>
      <c r="T153" s="18">
        <f>SUM(U153:X153)</f>
        <v>20000</v>
      </c>
      <c r="U153" s="19">
        <v>0</v>
      </c>
      <c r="V153" s="19">
        <v>0</v>
      </c>
      <c r="W153" s="19">
        <v>20000</v>
      </c>
      <c r="X153" s="19">
        <v>0</v>
      </c>
      <c r="Y153" s="18">
        <f>SUM(Z153:AC153)</f>
        <v>0</v>
      </c>
      <c r="Z153" s="19">
        <v>0</v>
      </c>
      <c r="AA153" s="19">
        <v>0</v>
      </c>
      <c r="AB153" s="19">
        <v>0</v>
      </c>
      <c r="AC153" s="19">
        <v>0</v>
      </c>
      <c r="AD153" s="18">
        <f>SUM(AE153:AH153)</f>
        <v>0</v>
      </c>
      <c r="AE153" s="19">
        <v>0</v>
      </c>
      <c r="AF153" s="20">
        <v>0</v>
      </c>
      <c r="AG153" s="19">
        <v>0</v>
      </c>
      <c r="AH153" s="20">
        <v>0</v>
      </c>
      <c r="AI153" s="18">
        <f>SUM(AJ153:AM153)</f>
        <v>0</v>
      </c>
      <c r="AJ153" s="19">
        <v>0</v>
      </c>
      <c r="AK153" s="20">
        <v>0</v>
      </c>
      <c r="AL153" s="38">
        <v>0</v>
      </c>
      <c r="AM153" s="38">
        <v>0</v>
      </c>
    </row>
    <row r="154" spans="1:39" s="2" customFormat="1" ht="54" customHeight="1" outlineLevel="3" x14ac:dyDescent="0.25">
      <c r="A154" s="8" t="s">
        <v>1016</v>
      </c>
      <c r="B154" s="28" t="s">
        <v>843</v>
      </c>
      <c r="C154" s="26" t="s">
        <v>32</v>
      </c>
      <c r="D154" s="26" t="s">
        <v>8</v>
      </c>
      <c r="E154" s="20">
        <f t="shared" si="131"/>
        <v>942.8</v>
      </c>
      <c r="F154" s="38">
        <f>K154+P154+U154+Z154+AE154+AJ154</f>
        <v>0</v>
      </c>
      <c r="G154" s="38">
        <f t="shared" si="133"/>
        <v>0</v>
      </c>
      <c r="H154" s="38">
        <f t="shared" si="133"/>
        <v>942.8</v>
      </c>
      <c r="I154" s="38">
        <f>N154+S154+X154+AC154+AH154+AM154</f>
        <v>0</v>
      </c>
      <c r="J154" s="18">
        <f>SUM(K154:N154)</f>
        <v>0</v>
      </c>
      <c r="K154" s="19">
        <v>0</v>
      </c>
      <c r="L154" s="19">
        <v>0</v>
      </c>
      <c r="M154" s="38">
        <v>0</v>
      </c>
      <c r="N154" s="20">
        <v>0</v>
      </c>
      <c r="O154" s="18">
        <f>SUM(P154:S154)</f>
        <v>0</v>
      </c>
      <c r="P154" s="19">
        <v>0</v>
      </c>
      <c r="Q154" s="38">
        <v>0</v>
      </c>
      <c r="R154" s="38">
        <v>0</v>
      </c>
      <c r="S154" s="38">
        <v>0</v>
      </c>
      <c r="T154" s="18">
        <f>SUM(U154:X154)</f>
        <v>0</v>
      </c>
      <c r="U154" s="19">
        <v>0</v>
      </c>
      <c r="V154" s="19">
        <v>0</v>
      </c>
      <c r="W154" s="19">
        <v>0</v>
      </c>
      <c r="X154" s="19">
        <v>0</v>
      </c>
      <c r="Y154" s="18">
        <f>SUM(Z154:AC154)</f>
        <v>942.8</v>
      </c>
      <c r="Z154" s="19">
        <v>0</v>
      </c>
      <c r="AA154" s="19">
        <v>0</v>
      </c>
      <c r="AB154" s="19">
        <f>1053.3-110.5</f>
        <v>942.8</v>
      </c>
      <c r="AC154" s="19">
        <v>0</v>
      </c>
      <c r="AD154" s="18">
        <f>SUM(AE154:AH154)</f>
        <v>0</v>
      </c>
      <c r="AE154" s="19">
        <v>0</v>
      </c>
      <c r="AF154" s="20">
        <v>0</v>
      </c>
      <c r="AG154" s="19">
        <v>0</v>
      </c>
      <c r="AH154" s="20">
        <v>0</v>
      </c>
      <c r="AI154" s="18">
        <f>SUM(AJ154:AM154)</f>
        <v>0</v>
      </c>
      <c r="AJ154" s="19">
        <v>0</v>
      </c>
      <c r="AK154" s="20">
        <v>0</v>
      </c>
      <c r="AL154" s="38">
        <v>0</v>
      </c>
      <c r="AM154" s="38">
        <v>0</v>
      </c>
    </row>
    <row r="155" spans="1:39" s="2" customFormat="1" ht="54" customHeight="1" outlineLevel="3" x14ac:dyDescent="0.25">
      <c r="A155" s="8" t="s">
        <v>1122</v>
      </c>
      <c r="B155" s="28" t="s">
        <v>1123</v>
      </c>
      <c r="C155" s="26" t="s">
        <v>32</v>
      </c>
      <c r="D155" s="26" t="s">
        <v>8</v>
      </c>
      <c r="E155" s="20">
        <f t="shared" ref="E155" si="134">SUM(F155:I155)</f>
        <v>7800</v>
      </c>
      <c r="F155" s="38">
        <f>K155+P155+U155+Z155+AE155+AJ155</f>
        <v>0</v>
      </c>
      <c r="G155" s="38">
        <f t="shared" ref="G155" si="135">L155+Q155+V155+AA155+AF155+AK155</f>
        <v>0</v>
      </c>
      <c r="H155" s="38">
        <f t="shared" ref="H155" si="136">M155+R155+W155+AB155+AG155+AL155</f>
        <v>7800</v>
      </c>
      <c r="I155" s="38">
        <f>N155+S155+X155+AC155+AH155+AM155</f>
        <v>0</v>
      </c>
      <c r="J155" s="18">
        <f>SUM(K155:N155)</f>
        <v>0</v>
      </c>
      <c r="K155" s="19">
        <v>0</v>
      </c>
      <c r="L155" s="19">
        <v>0</v>
      </c>
      <c r="M155" s="38">
        <v>0</v>
      </c>
      <c r="N155" s="20">
        <v>0</v>
      </c>
      <c r="O155" s="18">
        <f>SUM(P155:S155)</f>
        <v>0</v>
      </c>
      <c r="P155" s="19">
        <v>0</v>
      </c>
      <c r="Q155" s="38">
        <v>0</v>
      </c>
      <c r="R155" s="38">
        <v>0</v>
      </c>
      <c r="S155" s="38">
        <v>0</v>
      </c>
      <c r="T155" s="18">
        <f>SUM(U155:X155)</f>
        <v>0</v>
      </c>
      <c r="U155" s="19">
        <v>0</v>
      </c>
      <c r="V155" s="19">
        <v>0</v>
      </c>
      <c r="W155" s="19">
        <v>0</v>
      </c>
      <c r="X155" s="19">
        <v>0</v>
      </c>
      <c r="Y155" s="18">
        <f>SUM(Z155:AC155)</f>
        <v>0</v>
      </c>
      <c r="Z155" s="19">
        <v>0</v>
      </c>
      <c r="AA155" s="19">
        <v>0</v>
      </c>
      <c r="AB155" s="19">
        <v>0</v>
      </c>
      <c r="AC155" s="19">
        <v>0</v>
      </c>
      <c r="AD155" s="18">
        <f>SUM(AE155:AH155)</f>
        <v>7800</v>
      </c>
      <c r="AE155" s="19">
        <v>0</v>
      </c>
      <c r="AF155" s="20">
        <v>0</v>
      </c>
      <c r="AG155" s="19">
        <v>7800</v>
      </c>
      <c r="AH155" s="20">
        <v>0</v>
      </c>
      <c r="AI155" s="18">
        <f>SUM(AJ155:AM155)</f>
        <v>0</v>
      </c>
      <c r="AJ155" s="19">
        <v>0</v>
      </c>
      <c r="AK155" s="20">
        <v>0</v>
      </c>
      <c r="AL155" s="38">
        <v>0</v>
      </c>
      <c r="AM155" s="38">
        <v>0</v>
      </c>
    </row>
    <row r="156" spans="1:39" s="2" customFormat="1" ht="52.5" customHeight="1" outlineLevel="2" x14ac:dyDescent="0.25">
      <c r="A156" s="165" t="s">
        <v>80</v>
      </c>
      <c r="B156" s="196" t="s">
        <v>790</v>
      </c>
      <c r="C156" s="196"/>
      <c r="D156" s="197"/>
      <c r="E156" s="20">
        <f>SUM(E157:E172)</f>
        <v>19610.7</v>
      </c>
      <c r="F156" s="20">
        <f t="shared" ref="F156:AM156" si="137">SUM(F157:F172)</f>
        <v>0</v>
      </c>
      <c r="G156" s="20">
        <f t="shared" si="137"/>
        <v>0</v>
      </c>
      <c r="H156" s="20">
        <f t="shared" si="137"/>
        <v>19610.7</v>
      </c>
      <c r="I156" s="20">
        <f t="shared" si="137"/>
        <v>0</v>
      </c>
      <c r="J156" s="20">
        <f t="shared" si="137"/>
        <v>4709</v>
      </c>
      <c r="K156" s="20">
        <f t="shared" si="137"/>
        <v>0</v>
      </c>
      <c r="L156" s="20">
        <f t="shared" si="137"/>
        <v>0</v>
      </c>
      <c r="M156" s="20">
        <f t="shared" si="137"/>
        <v>4709</v>
      </c>
      <c r="N156" s="20">
        <f t="shared" si="137"/>
        <v>0</v>
      </c>
      <c r="O156" s="20">
        <f t="shared" si="137"/>
        <v>2498.1999999999998</v>
      </c>
      <c r="P156" s="20">
        <f t="shared" si="137"/>
        <v>0</v>
      </c>
      <c r="Q156" s="20">
        <f t="shared" si="137"/>
        <v>0</v>
      </c>
      <c r="R156" s="20">
        <f t="shared" si="137"/>
        <v>2498.1999999999998</v>
      </c>
      <c r="S156" s="20">
        <f t="shared" si="137"/>
        <v>0</v>
      </c>
      <c r="T156" s="20">
        <f t="shared" si="137"/>
        <v>2964.3</v>
      </c>
      <c r="U156" s="20">
        <f t="shared" si="137"/>
        <v>0</v>
      </c>
      <c r="V156" s="20">
        <f t="shared" si="137"/>
        <v>0</v>
      </c>
      <c r="W156" s="20">
        <f t="shared" si="137"/>
        <v>2964.3</v>
      </c>
      <c r="X156" s="20">
        <f t="shared" si="137"/>
        <v>0</v>
      </c>
      <c r="Y156" s="20">
        <f t="shared" si="137"/>
        <v>6408.2</v>
      </c>
      <c r="Z156" s="20">
        <f t="shared" si="137"/>
        <v>0</v>
      </c>
      <c r="AA156" s="20">
        <f t="shared" si="137"/>
        <v>0</v>
      </c>
      <c r="AB156" s="20">
        <f t="shared" si="137"/>
        <v>6408.2</v>
      </c>
      <c r="AC156" s="20">
        <f t="shared" si="137"/>
        <v>0</v>
      </c>
      <c r="AD156" s="20">
        <f t="shared" si="137"/>
        <v>3031</v>
      </c>
      <c r="AE156" s="20">
        <f t="shared" si="137"/>
        <v>0</v>
      </c>
      <c r="AF156" s="20">
        <f t="shared" si="137"/>
        <v>0</v>
      </c>
      <c r="AG156" s="20">
        <f t="shared" si="137"/>
        <v>3031</v>
      </c>
      <c r="AH156" s="20">
        <f t="shared" si="137"/>
        <v>0</v>
      </c>
      <c r="AI156" s="20">
        <f t="shared" si="137"/>
        <v>0</v>
      </c>
      <c r="AJ156" s="20">
        <f t="shared" si="137"/>
        <v>0</v>
      </c>
      <c r="AK156" s="20">
        <f t="shared" si="137"/>
        <v>0</v>
      </c>
      <c r="AL156" s="20">
        <f t="shared" si="137"/>
        <v>0</v>
      </c>
      <c r="AM156" s="20">
        <f t="shared" si="137"/>
        <v>0</v>
      </c>
    </row>
    <row r="157" spans="1:39" s="2" customFormat="1" ht="78.75" outlineLevel="3" x14ac:dyDescent="0.25">
      <c r="A157" s="8" t="s">
        <v>81</v>
      </c>
      <c r="B157" s="17" t="s">
        <v>396</v>
      </c>
      <c r="C157" s="24" t="s">
        <v>376</v>
      </c>
      <c r="D157" s="26" t="s">
        <v>118</v>
      </c>
      <c r="E157" s="20">
        <f t="shared" ref="E157:E164" si="138">SUM(F157:I157)</f>
        <v>1220.2</v>
      </c>
      <c r="F157" s="20">
        <f>K157</f>
        <v>0</v>
      </c>
      <c r="G157" s="38">
        <f>L157+Q157+V157+AA157+AF157+AK157</f>
        <v>0</v>
      </c>
      <c r="H157" s="38">
        <f>M157+R157+W157+AB157+AG157+AL157</f>
        <v>1220.2</v>
      </c>
      <c r="I157" s="38">
        <f>N157+S157+X157+AC157+AH157+AM157</f>
        <v>0</v>
      </c>
      <c r="J157" s="18">
        <f>SUM(K157:N157)</f>
        <v>1220.2</v>
      </c>
      <c r="K157" s="19">
        <v>0</v>
      </c>
      <c r="L157" s="19">
        <v>0</v>
      </c>
      <c r="M157" s="38">
        <f>1154.9+65.3</f>
        <v>1220.2</v>
      </c>
      <c r="N157" s="20">
        <v>0</v>
      </c>
      <c r="O157" s="18">
        <f t="shared" ref="O157:O163" si="139">SUM(P157:S157)</f>
        <v>0</v>
      </c>
      <c r="P157" s="19">
        <v>0</v>
      </c>
      <c r="Q157" s="38">
        <v>0</v>
      </c>
      <c r="R157" s="38">
        <v>0</v>
      </c>
      <c r="S157" s="38">
        <v>0</v>
      </c>
      <c r="T157" s="18">
        <f>SUM(U157:X157)</f>
        <v>0</v>
      </c>
      <c r="U157" s="19">
        <v>0</v>
      </c>
      <c r="V157" s="19">
        <v>0</v>
      </c>
      <c r="W157" s="19">
        <v>0</v>
      </c>
      <c r="X157" s="19">
        <v>0</v>
      </c>
      <c r="Y157" s="18">
        <f>SUM(Z157:AC157)</f>
        <v>0</v>
      </c>
      <c r="Z157" s="19">
        <v>0</v>
      </c>
      <c r="AA157" s="19">
        <v>0</v>
      </c>
      <c r="AB157" s="19">
        <v>0</v>
      </c>
      <c r="AC157" s="19">
        <v>0</v>
      </c>
      <c r="AD157" s="18">
        <f>SUM(AE157:AH157)</f>
        <v>0</v>
      </c>
      <c r="AE157" s="19">
        <v>0</v>
      </c>
      <c r="AF157" s="20">
        <f>AK157</f>
        <v>0</v>
      </c>
      <c r="AG157" s="19">
        <v>0</v>
      </c>
      <c r="AH157" s="20">
        <f t="shared" ref="AH157:AH163" si="140">AM157</f>
        <v>0</v>
      </c>
      <c r="AI157" s="18">
        <f>SUM(AJ157:AM157)</f>
        <v>0</v>
      </c>
      <c r="AJ157" s="19">
        <v>0</v>
      </c>
      <c r="AK157" s="20">
        <v>0</v>
      </c>
      <c r="AL157" s="38">
        <v>0</v>
      </c>
      <c r="AM157" s="38">
        <v>0</v>
      </c>
    </row>
    <row r="158" spans="1:39" s="2" customFormat="1" ht="94.5" outlineLevel="3" x14ac:dyDescent="0.25">
      <c r="A158" s="8" t="s">
        <v>82</v>
      </c>
      <c r="B158" s="27" t="s">
        <v>354</v>
      </c>
      <c r="C158" s="26" t="s">
        <v>376</v>
      </c>
      <c r="D158" s="26" t="s">
        <v>118</v>
      </c>
      <c r="E158" s="20">
        <f t="shared" si="138"/>
        <v>1178.9000000000001</v>
      </c>
      <c r="F158" s="20">
        <f>K158</f>
        <v>0</v>
      </c>
      <c r="G158" s="38">
        <f t="shared" ref="F158:I161" si="141">L158+Q158+V158+AA158+AF158+AK158</f>
        <v>0</v>
      </c>
      <c r="H158" s="38">
        <f t="shared" si="141"/>
        <v>1178.9000000000001</v>
      </c>
      <c r="I158" s="38">
        <f t="shared" si="141"/>
        <v>0</v>
      </c>
      <c r="J158" s="18">
        <f t="shared" ref="J158:J163" si="142">SUM(K158:N158)</f>
        <v>1178.9000000000001</v>
      </c>
      <c r="K158" s="19">
        <v>0</v>
      </c>
      <c r="L158" s="19">
        <v>0</v>
      </c>
      <c r="M158" s="38">
        <v>1178.9000000000001</v>
      </c>
      <c r="N158" s="20">
        <v>0</v>
      </c>
      <c r="O158" s="18">
        <f t="shared" si="139"/>
        <v>0</v>
      </c>
      <c r="P158" s="19">
        <v>0</v>
      </c>
      <c r="Q158" s="38">
        <v>0</v>
      </c>
      <c r="R158" s="38">
        <v>0</v>
      </c>
      <c r="S158" s="38">
        <v>0</v>
      </c>
      <c r="T158" s="18">
        <f t="shared" ref="T158:T163" si="143">SUM(U158:X158)</f>
        <v>0</v>
      </c>
      <c r="U158" s="19">
        <v>0</v>
      </c>
      <c r="V158" s="19">
        <v>0</v>
      </c>
      <c r="W158" s="19">
        <v>0</v>
      </c>
      <c r="X158" s="19">
        <v>0</v>
      </c>
      <c r="Y158" s="18">
        <f t="shared" ref="Y158:Y163" si="144">SUM(Z158:AC158)</f>
        <v>0</v>
      </c>
      <c r="Z158" s="19">
        <v>0</v>
      </c>
      <c r="AA158" s="19">
        <v>0</v>
      </c>
      <c r="AB158" s="19">
        <v>0</v>
      </c>
      <c r="AC158" s="19">
        <v>0</v>
      </c>
      <c r="AD158" s="18">
        <f t="shared" ref="AD158:AD163" si="145">SUM(AE158:AH158)</f>
        <v>0</v>
      </c>
      <c r="AE158" s="19">
        <v>0</v>
      </c>
      <c r="AF158" s="20">
        <f>AK158</f>
        <v>0</v>
      </c>
      <c r="AG158" s="19">
        <v>0</v>
      </c>
      <c r="AH158" s="20">
        <f t="shared" si="140"/>
        <v>0</v>
      </c>
      <c r="AI158" s="18">
        <f t="shared" ref="AI158:AI163" si="146">SUM(AJ158:AM158)</f>
        <v>0</v>
      </c>
      <c r="AJ158" s="19">
        <v>0</v>
      </c>
      <c r="AK158" s="20">
        <v>0</v>
      </c>
      <c r="AL158" s="38">
        <v>0</v>
      </c>
      <c r="AM158" s="38">
        <v>0</v>
      </c>
    </row>
    <row r="159" spans="1:39" s="2" customFormat="1" ht="78.75" outlineLevel="3" x14ac:dyDescent="0.25">
      <c r="A159" s="8" t="s">
        <v>83</v>
      </c>
      <c r="B159" s="27" t="s">
        <v>384</v>
      </c>
      <c r="C159" s="26" t="s">
        <v>376</v>
      </c>
      <c r="D159" s="26" t="s">
        <v>118</v>
      </c>
      <c r="E159" s="20">
        <f t="shared" si="138"/>
        <v>1154.9000000000001</v>
      </c>
      <c r="F159" s="20">
        <f>K159</f>
        <v>0</v>
      </c>
      <c r="G159" s="38">
        <f t="shared" si="141"/>
        <v>0</v>
      </c>
      <c r="H159" s="38">
        <f t="shared" si="141"/>
        <v>1154.9000000000001</v>
      </c>
      <c r="I159" s="38">
        <f t="shared" si="141"/>
        <v>0</v>
      </c>
      <c r="J159" s="18">
        <f t="shared" si="142"/>
        <v>1154.9000000000001</v>
      </c>
      <c r="K159" s="19">
        <v>0</v>
      </c>
      <c r="L159" s="19">
        <v>0</v>
      </c>
      <c r="M159" s="38">
        <v>1154.9000000000001</v>
      </c>
      <c r="N159" s="20">
        <v>0</v>
      </c>
      <c r="O159" s="18">
        <f t="shared" si="139"/>
        <v>0</v>
      </c>
      <c r="P159" s="19">
        <v>0</v>
      </c>
      <c r="Q159" s="38">
        <v>0</v>
      </c>
      <c r="R159" s="38">
        <v>0</v>
      </c>
      <c r="S159" s="38">
        <v>0</v>
      </c>
      <c r="T159" s="18">
        <f t="shared" si="143"/>
        <v>0</v>
      </c>
      <c r="U159" s="19">
        <v>0</v>
      </c>
      <c r="V159" s="19">
        <v>0</v>
      </c>
      <c r="W159" s="19">
        <v>0</v>
      </c>
      <c r="X159" s="19">
        <v>0</v>
      </c>
      <c r="Y159" s="18">
        <f t="shared" si="144"/>
        <v>0</v>
      </c>
      <c r="Z159" s="19">
        <v>0</v>
      </c>
      <c r="AA159" s="19">
        <v>0</v>
      </c>
      <c r="AB159" s="19">
        <v>0</v>
      </c>
      <c r="AC159" s="19">
        <v>0</v>
      </c>
      <c r="AD159" s="18">
        <f t="shared" si="145"/>
        <v>0</v>
      </c>
      <c r="AE159" s="19">
        <v>0</v>
      </c>
      <c r="AF159" s="20">
        <v>0</v>
      </c>
      <c r="AG159" s="19">
        <v>0</v>
      </c>
      <c r="AH159" s="20">
        <f t="shared" si="140"/>
        <v>0</v>
      </c>
      <c r="AI159" s="18">
        <f t="shared" si="146"/>
        <v>0</v>
      </c>
      <c r="AJ159" s="19">
        <v>0</v>
      </c>
      <c r="AK159" s="20">
        <v>0</v>
      </c>
      <c r="AL159" s="38">
        <v>0</v>
      </c>
      <c r="AM159" s="38">
        <v>0</v>
      </c>
    </row>
    <row r="160" spans="1:39" s="2" customFormat="1" ht="78.75" outlineLevel="3" x14ac:dyDescent="0.25">
      <c r="A160" s="8" t="s">
        <v>556</v>
      </c>
      <c r="B160" s="28" t="s">
        <v>389</v>
      </c>
      <c r="C160" s="26" t="s">
        <v>32</v>
      </c>
      <c r="D160" s="26" t="s">
        <v>118</v>
      </c>
      <c r="E160" s="20">
        <f t="shared" si="138"/>
        <v>1155</v>
      </c>
      <c r="F160" s="38">
        <f>K160+P160+U160+Z160+AE160+AJ160</f>
        <v>0</v>
      </c>
      <c r="G160" s="38">
        <f>L160+Q160+V160+AA160+AF160+AK160</f>
        <v>0</v>
      </c>
      <c r="H160" s="38">
        <f>M160+R160+W160+AB160+AG160+AL160</f>
        <v>1155</v>
      </c>
      <c r="I160" s="38">
        <f>N160+S160+X160+AC160+AH160+AM160</f>
        <v>0</v>
      </c>
      <c r="J160" s="18">
        <f t="shared" si="142"/>
        <v>1155</v>
      </c>
      <c r="K160" s="19">
        <v>0</v>
      </c>
      <c r="L160" s="19">
        <v>0</v>
      </c>
      <c r="M160" s="38">
        <v>1155</v>
      </c>
      <c r="N160" s="20">
        <v>0</v>
      </c>
      <c r="O160" s="18">
        <f t="shared" si="139"/>
        <v>0</v>
      </c>
      <c r="P160" s="19">
        <v>0</v>
      </c>
      <c r="Q160" s="38">
        <v>0</v>
      </c>
      <c r="R160" s="38">
        <v>0</v>
      </c>
      <c r="S160" s="38">
        <v>0</v>
      </c>
      <c r="T160" s="18">
        <f t="shared" si="143"/>
        <v>0</v>
      </c>
      <c r="U160" s="19">
        <v>0</v>
      </c>
      <c r="V160" s="19">
        <v>0</v>
      </c>
      <c r="W160" s="19">
        <v>0</v>
      </c>
      <c r="X160" s="19">
        <v>0</v>
      </c>
      <c r="Y160" s="18">
        <f t="shared" si="144"/>
        <v>0</v>
      </c>
      <c r="Z160" s="19">
        <v>0</v>
      </c>
      <c r="AA160" s="19">
        <v>0</v>
      </c>
      <c r="AB160" s="19">
        <v>0</v>
      </c>
      <c r="AC160" s="19">
        <v>0</v>
      </c>
      <c r="AD160" s="18">
        <f t="shared" si="145"/>
        <v>0</v>
      </c>
      <c r="AE160" s="19">
        <v>0</v>
      </c>
      <c r="AF160" s="20">
        <v>0</v>
      </c>
      <c r="AG160" s="19">
        <v>0</v>
      </c>
      <c r="AH160" s="20">
        <f t="shared" si="140"/>
        <v>0</v>
      </c>
      <c r="AI160" s="18">
        <f t="shared" si="146"/>
        <v>0</v>
      </c>
      <c r="AJ160" s="19">
        <v>0</v>
      </c>
      <c r="AK160" s="20">
        <v>0</v>
      </c>
      <c r="AL160" s="38">
        <v>0</v>
      </c>
      <c r="AM160" s="38">
        <v>0</v>
      </c>
    </row>
    <row r="161" spans="1:39" s="2" customFormat="1" ht="111" customHeight="1" outlineLevel="3" x14ac:dyDescent="0.25">
      <c r="A161" s="8" t="s">
        <v>557</v>
      </c>
      <c r="B161" s="28" t="s">
        <v>749</v>
      </c>
      <c r="C161" s="26" t="s">
        <v>32</v>
      </c>
      <c r="D161" s="26" t="s">
        <v>118</v>
      </c>
      <c r="E161" s="20">
        <f t="shared" si="138"/>
        <v>2466</v>
      </c>
      <c r="F161" s="38">
        <f t="shared" si="141"/>
        <v>0</v>
      </c>
      <c r="G161" s="38">
        <f t="shared" si="141"/>
        <v>0</v>
      </c>
      <c r="H161" s="38">
        <f t="shared" si="141"/>
        <v>2466</v>
      </c>
      <c r="I161" s="38">
        <f t="shared" si="141"/>
        <v>0</v>
      </c>
      <c r="J161" s="18">
        <f t="shared" si="142"/>
        <v>0</v>
      </c>
      <c r="K161" s="19">
        <v>0</v>
      </c>
      <c r="L161" s="19">
        <v>0</v>
      </c>
      <c r="M161" s="38">
        <v>0</v>
      </c>
      <c r="N161" s="20">
        <v>0</v>
      </c>
      <c r="O161" s="18">
        <f t="shared" si="139"/>
        <v>2466</v>
      </c>
      <c r="P161" s="19">
        <v>0</v>
      </c>
      <c r="Q161" s="38">
        <v>0</v>
      </c>
      <c r="R161" s="38">
        <f>3000-534</f>
        <v>2466</v>
      </c>
      <c r="S161" s="38">
        <v>0</v>
      </c>
      <c r="T161" s="18">
        <f t="shared" si="143"/>
        <v>0</v>
      </c>
      <c r="U161" s="19">
        <v>0</v>
      </c>
      <c r="V161" s="19">
        <v>0</v>
      </c>
      <c r="W161" s="19">
        <v>0</v>
      </c>
      <c r="X161" s="19">
        <v>0</v>
      </c>
      <c r="Y161" s="18">
        <f t="shared" si="144"/>
        <v>0</v>
      </c>
      <c r="Z161" s="19">
        <v>0</v>
      </c>
      <c r="AA161" s="19">
        <v>0</v>
      </c>
      <c r="AB161" s="19">
        <v>0</v>
      </c>
      <c r="AC161" s="19">
        <v>0</v>
      </c>
      <c r="AD161" s="18">
        <f t="shared" si="145"/>
        <v>0</v>
      </c>
      <c r="AE161" s="19">
        <v>0</v>
      </c>
      <c r="AF161" s="20">
        <v>0</v>
      </c>
      <c r="AG161" s="19">
        <v>0</v>
      </c>
      <c r="AH161" s="20">
        <f t="shared" si="140"/>
        <v>0</v>
      </c>
      <c r="AI161" s="18">
        <f t="shared" si="146"/>
        <v>0</v>
      </c>
      <c r="AJ161" s="19">
        <v>0</v>
      </c>
      <c r="AK161" s="20">
        <v>0</v>
      </c>
      <c r="AL161" s="38">
        <v>0</v>
      </c>
      <c r="AM161" s="38">
        <v>0</v>
      </c>
    </row>
    <row r="162" spans="1:39" s="2" customFormat="1" ht="110.25" outlineLevel="3" x14ac:dyDescent="0.25">
      <c r="A162" s="8" t="s">
        <v>562</v>
      </c>
      <c r="B162" s="28" t="s">
        <v>561</v>
      </c>
      <c r="C162" s="26" t="s">
        <v>32</v>
      </c>
      <c r="D162" s="26" t="s">
        <v>118</v>
      </c>
      <c r="E162" s="20">
        <f t="shared" si="138"/>
        <v>1488.7</v>
      </c>
      <c r="F162" s="38">
        <f t="shared" ref="F162:I166" si="147">K162+P162+U162+Z162+AE162+AJ162</f>
        <v>0</v>
      </c>
      <c r="G162" s="38">
        <f t="shared" si="147"/>
        <v>0</v>
      </c>
      <c r="H162" s="38">
        <f t="shared" si="147"/>
        <v>1488.7</v>
      </c>
      <c r="I162" s="38">
        <f t="shared" si="147"/>
        <v>0</v>
      </c>
      <c r="J162" s="18">
        <f t="shared" si="142"/>
        <v>0</v>
      </c>
      <c r="K162" s="19">
        <v>0</v>
      </c>
      <c r="L162" s="19">
        <v>0</v>
      </c>
      <c r="M162" s="38">
        <v>0</v>
      </c>
      <c r="N162" s="20">
        <v>0</v>
      </c>
      <c r="O162" s="18">
        <f t="shared" si="139"/>
        <v>0</v>
      </c>
      <c r="P162" s="19">
        <v>0</v>
      </c>
      <c r="Q162" s="38">
        <v>0</v>
      </c>
      <c r="R162" s="38">
        <v>0</v>
      </c>
      <c r="S162" s="38">
        <v>0</v>
      </c>
      <c r="T162" s="18">
        <f t="shared" si="143"/>
        <v>1488.7</v>
      </c>
      <c r="U162" s="19">
        <v>0</v>
      </c>
      <c r="V162" s="19">
        <v>0</v>
      </c>
      <c r="W162" s="19">
        <v>1488.7</v>
      </c>
      <c r="X162" s="19">
        <v>0</v>
      </c>
      <c r="Y162" s="18">
        <f t="shared" si="144"/>
        <v>0</v>
      </c>
      <c r="Z162" s="19">
        <v>0</v>
      </c>
      <c r="AA162" s="19">
        <v>0</v>
      </c>
      <c r="AB162" s="19">
        <v>0</v>
      </c>
      <c r="AC162" s="19">
        <v>0</v>
      </c>
      <c r="AD162" s="18">
        <f t="shared" si="145"/>
        <v>0</v>
      </c>
      <c r="AE162" s="19">
        <v>0</v>
      </c>
      <c r="AF162" s="20">
        <v>0</v>
      </c>
      <c r="AG162" s="19">
        <v>0</v>
      </c>
      <c r="AH162" s="20">
        <f t="shared" si="140"/>
        <v>0</v>
      </c>
      <c r="AI162" s="18">
        <f t="shared" si="146"/>
        <v>0</v>
      </c>
      <c r="AJ162" s="19">
        <v>0</v>
      </c>
      <c r="AK162" s="20">
        <v>0</v>
      </c>
      <c r="AL162" s="38">
        <v>0</v>
      </c>
      <c r="AM162" s="38">
        <v>0</v>
      </c>
    </row>
    <row r="163" spans="1:39" s="2" customFormat="1" ht="47.25" outlineLevel="3" x14ac:dyDescent="0.25">
      <c r="A163" s="8" t="s">
        <v>791</v>
      </c>
      <c r="B163" s="28" t="s">
        <v>792</v>
      </c>
      <c r="C163" s="26" t="s">
        <v>32</v>
      </c>
      <c r="D163" s="26" t="s">
        <v>118</v>
      </c>
      <c r="E163" s="20">
        <f t="shared" si="138"/>
        <v>32.200000000000003</v>
      </c>
      <c r="F163" s="38">
        <f t="shared" si="147"/>
        <v>0</v>
      </c>
      <c r="G163" s="38">
        <f t="shared" si="147"/>
        <v>0</v>
      </c>
      <c r="H163" s="38">
        <f t="shared" si="147"/>
        <v>32.200000000000003</v>
      </c>
      <c r="I163" s="38">
        <f t="shared" si="147"/>
        <v>0</v>
      </c>
      <c r="J163" s="18">
        <f t="shared" si="142"/>
        <v>0</v>
      </c>
      <c r="K163" s="19">
        <v>0</v>
      </c>
      <c r="L163" s="19">
        <v>0</v>
      </c>
      <c r="M163" s="38">
        <v>0</v>
      </c>
      <c r="N163" s="20">
        <v>0</v>
      </c>
      <c r="O163" s="18">
        <f t="shared" si="139"/>
        <v>32.200000000000003</v>
      </c>
      <c r="P163" s="19">
        <v>0</v>
      </c>
      <c r="Q163" s="38">
        <v>0</v>
      </c>
      <c r="R163" s="38">
        <v>32.200000000000003</v>
      </c>
      <c r="S163" s="38">
        <v>0</v>
      </c>
      <c r="T163" s="18">
        <f t="shared" si="143"/>
        <v>0</v>
      </c>
      <c r="U163" s="19">
        <v>0</v>
      </c>
      <c r="V163" s="19">
        <v>0</v>
      </c>
      <c r="W163" s="19">
        <v>0</v>
      </c>
      <c r="X163" s="19">
        <v>0</v>
      </c>
      <c r="Y163" s="18">
        <f t="shared" si="144"/>
        <v>0</v>
      </c>
      <c r="Z163" s="19">
        <v>0</v>
      </c>
      <c r="AA163" s="19">
        <v>0</v>
      </c>
      <c r="AB163" s="19">
        <v>0</v>
      </c>
      <c r="AC163" s="19">
        <v>0</v>
      </c>
      <c r="AD163" s="18">
        <f t="shared" si="145"/>
        <v>0</v>
      </c>
      <c r="AE163" s="19">
        <v>0</v>
      </c>
      <c r="AF163" s="20">
        <v>0</v>
      </c>
      <c r="AG163" s="19">
        <v>0</v>
      </c>
      <c r="AH163" s="20">
        <f t="shared" si="140"/>
        <v>0</v>
      </c>
      <c r="AI163" s="18">
        <f t="shared" si="146"/>
        <v>0</v>
      </c>
      <c r="AJ163" s="19">
        <v>0</v>
      </c>
      <c r="AK163" s="20">
        <v>0</v>
      </c>
      <c r="AL163" s="38">
        <v>0</v>
      </c>
      <c r="AM163" s="38">
        <v>0</v>
      </c>
    </row>
    <row r="164" spans="1:39" s="2" customFormat="1" ht="47.25" outlineLevel="3" x14ac:dyDescent="0.25">
      <c r="A164" s="8" t="s">
        <v>829</v>
      </c>
      <c r="B164" s="28" t="s">
        <v>897</v>
      </c>
      <c r="C164" s="26" t="s">
        <v>32</v>
      </c>
      <c r="D164" s="26" t="s">
        <v>118</v>
      </c>
      <c r="E164" s="20">
        <f t="shared" si="138"/>
        <v>42.4</v>
      </c>
      <c r="F164" s="38">
        <f>K164+P164+U164+Z164+AE164+AJ164</f>
        <v>0</v>
      </c>
      <c r="G164" s="38">
        <f>L164+Q164+V164+AA164+AF164+AK164</f>
        <v>0</v>
      </c>
      <c r="H164" s="38">
        <f>M164+R164+W164+AB164+AG164+AL164</f>
        <v>42.4</v>
      </c>
      <c r="I164" s="38">
        <f t="shared" si="147"/>
        <v>0</v>
      </c>
      <c r="J164" s="18">
        <f t="shared" ref="J164:J166" si="148">SUM(K164:N164)</f>
        <v>0</v>
      </c>
      <c r="K164" s="19">
        <v>0</v>
      </c>
      <c r="L164" s="19">
        <v>0</v>
      </c>
      <c r="M164" s="38">
        <v>0</v>
      </c>
      <c r="N164" s="20">
        <v>0</v>
      </c>
      <c r="O164" s="18">
        <f t="shared" ref="O164:O166" si="149">SUM(P164:S164)</f>
        <v>0</v>
      </c>
      <c r="P164" s="19">
        <v>0</v>
      </c>
      <c r="Q164" s="38">
        <v>0</v>
      </c>
      <c r="R164" s="38">
        <v>0</v>
      </c>
      <c r="S164" s="38">
        <v>0</v>
      </c>
      <c r="T164" s="18">
        <f t="shared" ref="T164:T170" si="150">W164</f>
        <v>42.4</v>
      </c>
      <c r="U164" s="19"/>
      <c r="V164" s="19">
        <v>0</v>
      </c>
      <c r="W164" s="19">
        <v>42.4</v>
      </c>
      <c r="X164" s="19">
        <v>0</v>
      </c>
      <c r="Y164" s="18">
        <f t="shared" ref="Y164:Y166" si="151">SUM(Z164:AC164)</f>
        <v>0</v>
      </c>
      <c r="Z164" s="19">
        <v>0</v>
      </c>
      <c r="AA164" s="19">
        <v>0</v>
      </c>
      <c r="AB164" s="19">
        <v>0</v>
      </c>
      <c r="AC164" s="19">
        <v>0</v>
      </c>
      <c r="AD164" s="18">
        <f t="shared" ref="AD164:AD166" si="152">SUM(AE164:AH164)</f>
        <v>0</v>
      </c>
      <c r="AE164" s="19">
        <v>0</v>
      </c>
      <c r="AF164" s="20">
        <v>0</v>
      </c>
      <c r="AG164" s="19">
        <v>0</v>
      </c>
      <c r="AH164" s="20">
        <f t="shared" ref="AH164:AH166" si="153">AM164</f>
        <v>0</v>
      </c>
      <c r="AI164" s="18">
        <f t="shared" ref="AI164:AI166" si="154">SUM(AJ164:AM164)</f>
        <v>0</v>
      </c>
      <c r="AJ164" s="19">
        <v>0</v>
      </c>
      <c r="AK164" s="20">
        <v>0</v>
      </c>
      <c r="AL164" s="38">
        <v>0</v>
      </c>
      <c r="AM164" s="38">
        <v>0</v>
      </c>
    </row>
    <row r="165" spans="1:39" s="2" customFormat="1" ht="78.75" outlineLevel="3" x14ac:dyDescent="0.25">
      <c r="A165" s="8" t="s">
        <v>896</v>
      </c>
      <c r="B165" s="28" t="s">
        <v>830</v>
      </c>
      <c r="C165" s="26" t="s">
        <v>32</v>
      </c>
      <c r="D165" s="26" t="s">
        <v>118</v>
      </c>
      <c r="E165" s="20">
        <f t="shared" ref="E165:E166" si="155">SUM(F165:I165)</f>
        <v>1433.2</v>
      </c>
      <c r="F165" s="38">
        <f t="shared" ref="F165:F166" si="156">K165+P165+U165+Z165+AE165+AJ165</f>
        <v>0</v>
      </c>
      <c r="G165" s="38">
        <f t="shared" ref="G165:G166" si="157">L165+Q165+V165+AA165+AF165+AK165</f>
        <v>0</v>
      </c>
      <c r="H165" s="38">
        <f t="shared" ref="H165:H166" si="158">M165+R165+W165+AB165+AG165+AL165</f>
        <v>1433.2</v>
      </c>
      <c r="I165" s="38">
        <f t="shared" si="147"/>
        <v>0</v>
      </c>
      <c r="J165" s="18">
        <f t="shared" si="148"/>
        <v>0</v>
      </c>
      <c r="K165" s="19">
        <v>0</v>
      </c>
      <c r="L165" s="19">
        <v>0</v>
      </c>
      <c r="M165" s="38">
        <v>0</v>
      </c>
      <c r="N165" s="20">
        <v>0</v>
      </c>
      <c r="O165" s="18">
        <f t="shared" si="149"/>
        <v>0</v>
      </c>
      <c r="P165" s="19">
        <v>0</v>
      </c>
      <c r="Q165" s="38">
        <v>0</v>
      </c>
      <c r="R165" s="38">
        <v>0</v>
      </c>
      <c r="S165" s="38">
        <v>0</v>
      </c>
      <c r="T165" s="18">
        <f t="shared" si="150"/>
        <v>1433.2</v>
      </c>
      <c r="U165" s="19"/>
      <c r="V165" s="19">
        <v>0</v>
      </c>
      <c r="W165" s="19">
        <f>1800-366.8</f>
        <v>1433.2</v>
      </c>
      <c r="X165" s="19">
        <v>0</v>
      </c>
      <c r="Y165" s="18">
        <f t="shared" si="151"/>
        <v>0</v>
      </c>
      <c r="Z165" s="19">
        <v>0</v>
      </c>
      <c r="AA165" s="19">
        <v>0</v>
      </c>
      <c r="AB165" s="19">
        <v>0</v>
      </c>
      <c r="AC165" s="19">
        <v>0</v>
      </c>
      <c r="AD165" s="18">
        <f t="shared" si="152"/>
        <v>0</v>
      </c>
      <c r="AE165" s="19">
        <v>0</v>
      </c>
      <c r="AF165" s="20">
        <v>0</v>
      </c>
      <c r="AG165" s="19">
        <v>0</v>
      </c>
      <c r="AH165" s="20">
        <f t="shared" si="153"/>
        <v>0</v>
      </c>
      <c r="AI165" s="18">
        <f t="shared" si="154"/>
        <v>0</v>
      </c>
      <c r="AJ165" s="19">
        <v>0</v>
      </c>
      <c r="AK165" s="20">
        <v>0</v>
      </c>
      <c r="AL165" s="38">
        <v>0</v>
      </c>
      <c r="AM165" s="38">
        <v>0</v>
      </c>
    </row>
    <row r="166" spans="1:39" s="2" customFormat="1" ht="78.75" outlineLevel="3" x14ac:dyDescent="0.25">
      <c r="A166" s="8" t="s">
        <v>1007</v>
      </c>
      <c r="B166" s="28" t="s">
        <v>1008</v>
      </c>
      <c r="C166" s="26" t="s">
        <v>32</v>
      </c>
      <c r="D166" s="26" t="s">
        <v>118</v>
      </c>
      <c r="E166" s="20">
        <f t="shared" si="155"/>
        <v>158.30000000000001</v>
      </c>
      <c r="F166" s="38">
        <f t="shared" si="156"/>
        <v>0</v>
      </c>
      <c r="G166" s="38">
        <f t="shared" si="157"/>
        <v>0</v>
      </c>
      <c r="H166" s="38">
        <f t="shared" si="158"/>
        <v>158.30000000000001</v>
      </c>
      <c r="I166" s="38">
        <f t="shared" si="147"/>
        <v>0</v>
      </c>
      <c r="J166" s="18">
        <f t="shared" si="148"/>
        <v>0</v>
      </c>
      <c r="K166" s="19">
        <v>0</v>
      </c>
      <c r="L166" s="19">
        <v>0</v>
      </c>
      <c r="M166" s="38">
        <v>0</v>
      </c>
      <c r="N166" s="20">
        <v>0</v>
      </c>
      <c r="O166" s="18">
        <f t="shared" si="149"/>
        <v>0</v>
      </c>
      <c r="P166" s="19">
        <v>0</v>
      </c>
      <c r="Q166" s="38">
        <v>0</v>
      </c>
      <c r="R166" s="38">
        <v>0</v>
      </c>
      <c r="S166" s="38">
        <v>0</v>
      </c>
      <c r="T166" s="18">
        <f t="shared" si="150"/>
        <v>0</v>
      </c>
      <c r="U166" s="19"/>
      <c r="V166" s="19">
        <v>0</v>
      </c>
      <c r="W166" s="19">
        <v>0</v>
      </c>
      <c r="X166" s="19">
        <v>0</v>
      </c>
      <c r="Y166" s="18">
        <f t="shared" si="151"/>
        <v>0</v>
      </c>
      <c r="Z166" s="19">
        <v>0</v>
      </c>
      <c r="AA166" s="19">
        <v>0</v>
      </c>
      <c r="AB166" s="19">
        <f>158.3-158.3</f>
        <v>0</v>
      </c>
      <c r="AC166" s="19">
        <v>0</v>
      </c>
      <c r="AD166" s="18">
        <f t="shared" si="152"/>
        <v>158.30000000000001</v>
      </c>
      <c r="AE166" s="19">
        <v>0</v>
      </c>
      <c r="AF166" s="20">
        <v>0</v>
      </c>
      <c r="AG166" s="19">
        <v>158.30000000000001</v>
      </c>
      <c r="AH166" s="20">
        <f t="shared" si="153"/>
        <v>0</v>
      </c>
      <c r="AI166" s="18">
        <f t="shared" si="154"/>
        <v>0</v>
      </c>
      <c r="AJ166" s="19">
        <v>0</v>
      </c>
      <c r="AK166" s="20">
        <v>0</v>
      </c>
      <c r="AL166" s="38">
        <v>0</v>
      </c>
      <c r="AM166" s="38">
        <v>0</v>
      </c>
    </row>
    <row r="167" spans="1:39" s="2" customFormat="1" ht="78.75" outlineLevel="3" x14ac:dyDescent="0.25">
      <c r="A167" s="8" t="s">
        <v>1018</v>
      </c>
      <c r="B167" s="28" t="s">
        <v>1023</v>
      </c>
      <c r="C167" s="26" t="s">
        <v>32</v>
      </c>
      <c r="D167" s="26" t="s">
        <v>118</v>
      </c>
      <c r="E167" s="20">
        <f t="shared" ref="E167:E170" si="159">SUM(F167:I167)</f>
        <v>1373.6</v>
      </c>
      <c r="F167" s="38">
        <f t="shared" ref="F167:F170" si="160">K167+P167+U167+Z167+AE167+AJ167</f>
        <v>0</v>
      </c>
      <c r="G167" s="38">
        <f t="shared" ref="G167:G170" si="161">L167+Q167+V167+AA167+AF167+AK167</f>
        <v>0</v>
      </c>
      <c r="H167" s="38">
        <f t="shared" ref="H167:H170" si="162">M167+R167+W167+AB167+AG167+AL167</f>
        <v>1373.6</v>
      </c>
      <c r="I167" s="38">
        <f t="shared" ref="I167:I170" si="163">N167+S167+X167+AC167+AH167+AM167</f>
        <v>0</v>
      </c>
      <c r="J167" s="18">
        <f t="shared" ref="J167:J170" si="164">SUM(K167:N167)</f>
        <v>0</v>
      </c>
      <c r="K167" s="19">
        <v>0</v>
      </c>
      <c r="L167" s="19">
        <v>0</v>
      </c>
      <c r="M167" s="38">
        <v>0</v>
      </c>
      <c r="N167" s="20">
        <v>0</v>
      </c>
      <c r="O167" s="18">
        <f t="shared" ref="O167:O170" si="165">SUM(P167:S167)</f>
        <v>0</v>
      </c>
      <c r="P167" s="19">
        <v>0</v>
      </c>
      <c r="Q167" s="38">
        <v>0</v>
      </c>
      <c r="R167" s="38">
        <v>0</v>
      </c>
      <c r="S167" s="38">
        <v>0</v>
      </c>
      <c r="T167" s="18">
        <f t="shared" si="150"/>
        <v>0</v>
      </c>
      <c r="U167" s="19"/>
      <c r="V167" s="19">
        <v>0</v>
      </c>
      <c r="W167" s="19">
        <v>0</v>
      </c>
      <c r="X167" s="19">
        <v>0</v>
      </c>
      <c r="Y167" s="18">
        <f t="shared" ref="Y167:Y170" si="166">SUM(Z167:AC167)</f>
        <v>0</v>
      </c>
      <c r="Z167" s="19">
        <v>0</v>
      </c>
      <c r="AA167" s="19">
        <v>0</v>
      </c>
      <c r="AB167" s="19">
        <f>2020-646.4-1373.6</f>
        <v>0</v>
      </c>
      <c r="AC167" s="19">
        <v>0</v>
      </c>
      <c r="AD167" s="18">
        <f t="shared" ref="AD167:AD170" si="167">SUM(AE167:AH167)</f>
        <v>1373.6</v>
      </c>
      <c r="AE167" s="19">
        <v>0</v>
      </c>
      <c r="AF167" s="20">
        <v>0</v>
      </c>
      <c r="AG167" s="19">
        <v>1373.6</v>
      </c>
      <c r="AH167" s="20">
        <f t="shared" ref="AH167:AH170" si="168">AM167</f>
        <v>0</v>
      </c>
      <c r="AI167" s="18">
        <f t="shared" ref="AI167:AI170" si="169">SUM(AJ167:AM167)</f>
        <v>0</v>
      </c>
      <c r="AJ167" s="19">
        <v>0</v>
      </c>
      <c r="AK167" s="20">
        <v>0</v>
      </c>
      <c r="AL167" s="38">
        <v>0</v>
      </c>
      <c r="AM167" s="38">
        <v>0</v>
      </c>
    </row>
    <row r="168" spans="1:39" s="2" customFormat="1" ht="78.75" outlineLevel="3" x14ac:dyDescent="0.25">
      <c r="A168" s="8" t="s">
        <v>1019</v>
      </c>
      <c r="B168" s="28" t="s">
        <v>830</v>
      </c>
      <c r="C168" s="26" t="s">
        <v>32</v>
      </c>
      <c r="D168" s="26" t="s">
        <v>118</v>
      </c>
      <c r="E168" s="20">
        <f t="shared" si="159"/>
        <v>1806.7</v>
      </c>
      <c r="F168" s="38">
        <f t="shared" si="160"/>
        <v>0</v>
      </c>
      <c r="G168" s="38">
        <f t="shared" si="161"/>
        <v>0</v>
      </c>
      <c r="H168" s="38">
        <f t="shared" si="162"/>
        <v>1806.7</v>
      </c>
      <c r="I168" s="38">
        <f t="shared" si="163"/>
        <v>0</v>
      </c>
      <c r="J168" s="18">
        <f t="shared" si="164"/>
        <v>0</v>
      </c>
      <c r="K168" s="19">
        <v>0</v>
      </c>
      <c r="L168" s="19">
        <v>0</v>
      </c>
      <c r="M168" s="38">
        <v>0</v>
      </c>
      <c r="N168" s="20">
        <v>0</v>
      </c>
      <c r="O168" s="18">
        <f t="shared" si="165"/>
        <v>0</v>
      </c>
      <c r="P168" s="19">
        <v>0</v>
      </c>
      <c r="Q168" s="38">
        <v>0</v>
      </c>
      <c r="R168" s="38">
        <v>0</v>
      </c>
      <c r="S168" s="38">
        <v>0</v>
      </c>
      <c r="T168" s="18">
        <f t="shared" si="150"/>
        <v>0</v>
      </c>
      <c r="U168" s="19"/>
      <c r="V168" s="19">
        <v>0</v>
      </c>
      <c r="W168" s="19">
        <v>0</v>
      </c>
      <c r="X168" s="19">
        <v>0</v>
      </c>
      <c r="Y168" s="18">
        <f t="shared" si="166"/>
        <v>1806.7</v>
      </c>
      <c r="Z168" s="19">
        <v>0</v>
      </c>
      <c r="AA168" s="19">
        <v>0</v>
      </c>
      <c r="AB168" s="19">
        <v>1806.7</v>
      </c>
      <c r="AC168" s="19">
        <v>0</v>
      </c>
      <c r="AD168" s="18">
        <f t="shared" si="167"/>
        <v>0</v>
      </c>
      <c r="AE168" s="19">
        <v>0</v>
      </c>
      <c r="AF168" s="20">
        <v>0</v>
      </c>
      <c r="AG168" s="19">
        <v>0</v>
      </c>
      <c r="AH168" s="20">
        <f t="shared" si="168"/>
        <v>0</v>
      </c>
      <c r="AI168" s="18">
        <f t="shared" si="169"/>
        <v>0</v>
      </c>
      <c r="AJ168" s="19">
        <v>0</v>
      </c>
      <c r="AK168" s="20">
        <v>0</v>
      </c>
      <c r="AL168" s="38">
        <v>0</v>
      </c>
      <c r="AM168" s="38">
        <v>0</v>
      </c>
    </row>
    <row r="169" spans="1:39" s="2" customFormat="1" ht="94.5" outlineLevel="3" x14ac:dyDescent="0.25">
      <c r="A169" s="8" t="s">
        <v>1020</v>
      </c>
      <c r="B169" s="28" t="s">
        <v>1168</v>
      </c>
      <c r="C169" s="26" t="s">
        <v>32</v>
      </c>
      <c r="D169" s="26" t="s">
        <v>118</v>
      </c>
      <c r="E169" s="20">
        <f t="shared" si="159"/>
        <v>1662.8999999999999</v>
      </c>
      <c r="F169" s="38">
        <f t="shared" si="160"/>
        <v>0</v>
      </c>
      <c r="G169" s="38">
        <f t="shared" si="161"/>
        <v>0</v>
      </c>
      <c r="H169" s="38">
        <f t="shared" si="162"/>
        <v>1662.8999999999999</v>
      </c>
      <c r="I169" s="38">
        <f t="shared" si="163"/>
        <v>0</v>
      </c>
      <c r="J169" s="18">
        <f t="shared" si="164"/>
        <v>0</v>
      </c>
      <c r="K169" s="19">
        <v>0</v>
      </c>
      <c r="L169" s="19">
        <v>0</v>
      </c>
      <c r="M169" s="38">
        <v>0</v>
      </c>
      <c r="N169" s="20">
        <v>0</v>
      </c>
      <c r="O169" s="18">
        <f t="shared" si="165"/>
        <v>0</v>
      </c>
      <c r="P169" s="19">
        <v>0</v>
      </c>
      <c r="Q169" s="38">
        <v>0</v>
      </c>
      <c r="R169" s="38">
        <v>0</v>
      </c>
      <c r="S169" s="38">
        <v>0</v>
      </c>
      <c r="T169" s="18">
        <f t="shared" si="150"/>
        <v>0</v>
      </c>
      <c r="U169" s="19"/>
      <c r="V169" s="19">
        <v>0</v>
      </c>
      <c r="W169" s="19">
        <v>0</v>
      </c>
      <c r="X169" s="19">
        <v>0</v>
      </c>
      <c r="Y169" s="18">
        <f t="shared" si="166"/>
        <v>1662.8999999999999</v>
      </c>
      <c r="Z169" s="19">
        <v>0</v>
      </c>
      <c r="AA169" s="19">
        <v>0</v>
      </c>
      <c r="AB169" s="19">
        <f>3745.4-2178.3+95.8</f>
        <v>1662.8999999999999</v>
      </c>
      <c r="AC169" s="19">
        <v>0</v>
      </c>
      <c r="AD169" s="18">
        <f t="shared" si="167"/>
        <v>0</v>
      </c>
      <c r="AE169" s="19">
        <v>0</v>
      </c>
      <c r="AF169" s="20">
        <v>0</v>
      </c>
      <c r="AG169" s="19">
        <v>0</v>
      </c>
      <c r="AH169" s="20">
        <f t="shared" si="168"/>
        <v>0</v>
      </c>
      <c r="AI169" s="18">
        <f t="shared" si="169"/>
        <v>0</v>
      </c>
      <c r="AJ169" s="19">
        <v>0</v>
      </c>
      <c r="AK169" s="20">
        <v>0</v>
      </c>
      <c r="AL169" s="38">
        <v>0</v>
      </c>
      <c r="AM169" s="38">
        <v>0</v>
      </c>
    </row>
    <row r="170" spans="1:39" s="2" customFormat="1" ht="94.5" outlineLevel="3" x14ac:dyDescent="0.25">
      <c r="A170" s="8" t="s">
        <v>1021</v>
      </c>
      <c r="B170" s="28" t="s">
        <v>1022</v>
      </c>
      <c r="C170" s="26" t="s">
        <v>32</v>
      </c>
      <c r="D170" s="26" t="s">
        <v>118</v>
      </c>
      <c r="E170" s="20">
        <f t="shared" si="159"/>
        <v>1791.7999999999997</v>
      </c>
      <c r="F170" s="38">
        <f t="shared" si="160"/>
        <v>0</v>
      </c>
      <c r="G170" s="38">
        <f t="shared" si="161"/>
        <v>0</v>
      </c>
      <c r="H170" s="38">
        <f t="shared" si="162"/>
        <v>1791.7999999999997</v>
      </c>
      <c r="I170" s="38">
        <f t="shared" si="163"/>
        <v>0</v>
      </c>
      <c r="J170" s="18">
        <f t="shared" si="164"/>
        <v>0</v>
      </c>
      <c r="K170" s="19">
        <v>0</v>
      </c>
      <c r="L170" s="19">
        <v>0</v>
      </c>
      <c r="M170" s="38">
        <v>0</v>
      </c>
      <c r="N170" s="20">
        <v>0</v>
      </c>
      <c r="O170" s="18">
        <f t="shared" si="165"/>
        <v>0</v>
      </c>
      <c r="P170" s="19">
        <v>0</v>
      </c>
      <c r="Q170" s="38">
        <v>0</v>
      </c>
      <c r="R170" s="38">
        <v>0</v>
      </c>
      <c r="S170" s="38">
        <v>0</v>
      </c>
      <c r="T170" s="18">
        <f t="shared" si="150"/>
        <v>0</v>
      </c>
      <c r="U170" s="19"/>
      <c r="V170" s="19">
        <v>0</v>
      </c>
      <c r="W170" s="19">
        <v>0</v>
      </c>
      <c r="X170" s="19">
        <v>0</v>
      </c>
      <c r="Y170" s="18">
        <f t="shared" si="166"/>
        <v>1791.7999999999997</v>
      </c>
      <c r="Z170" s="19">
        <v>0</v>
      </c>
      <c r="AA170" s="19">
        <v>0</v>
      </c>
      <c r="AB170" s="19">
        <f>3302.2-1510.4</f>
        <v>1791.7999999999997</v>
      </c>
      <c r="AC170" s="19">
        <v>0</v>
      </c>
      <c r="AD170" s="18">
        <f t="shared" si="167"/>
        <v>0</v>
      </c>
      <c r="AE170" s="19">
        <v>0</v>
      </c>
      <c r="AF170" s="20">
        <v>0</v>
      </c>
      <c r="AG170" s="19">
        <v>0</v>
      </c>
      <c r="AH170" s="20">
        <f t="shared" si="168"/>
        <v>0</v>
      </c>
      <c r="AI170" s="18">
        <f t="shared" si="169"/>
        <v>0</v>
      </c>
      <c r="AJ170" s="19">
        <v>0</v>
      </c>
      <c r="AK170" s="20">
        <v>0</v>
      </c>
      <c r="AL170" s="38">
        <v>0</v>
      </c>
      <c r="AM170" s="38">
        <v>0</v>
      </c>
    </row>
    <row r="171" spans="1:39" s="2" customFormat="1" ht="81" customHeight="1" outlineLevel="3" x14ac:dyDescent="0.25">
      <c r="A171" s="8" t="s">
        <v>1046</v>
      </c>
      <c r="B171" s="28" t="s">
        <v>1047</v>
      </c>
      <c r="C171" s="26" t="s">
        <v>32</v>
      </c>
      <c r="D171" s="26" t="s">
        <v>118</v>
      </c>
      <c r="E171" s="20">
        <f t="shared" ref="E171" si="170">SUM(F171:I171)</f>
        <v>1146.8</v>
      </c>
      <c r="F171" s="38">
        <f t="shared" ref="F171" si="171">K171+P171+U171+Z171+AE171+AJ171</f>
        <v>0</v>
      </c>
      <c r="G171" s="38">
        <f t="shared" ref="G171" si="172">L171+Q171+V171+AA171+AF171+AK171</f>
        <v>0</v>
      </c>
      <c r="H171" s="38">
        <f t="shared" ref="H171" si="173">M171+R171+W171+AB171+AG171+AL171</f>
        <v>1146.8</v>
      </c>
      <c r="I171" s="38">
        <f t="shared" ref="I171" si="174">N171+S171+X171+AC171+AH171+AM171</f>
        <v>0</v>
      </c>
      <c r="J171" s="18">
        <f t="shared" ref="J171" si="175">SUM(K171:N171)</f>
        <v>0</v>
      </c>
      <c r="K171" s="19">
        <v>0</v>
      </c>
      <c r="L171" s="19">
        <v>0</v>
      </c>
      <c r="M171" s="38">
        <v>0</v>
      </c>
      <c r="N171" s="20">
        <v>0</v>
      </c>
      <c r="O171" s="18">
        <f t="shared" ref="O171" si="176">SUM(P171:S171)</f>
        <v>0</v>
      </c>
      <c r="P171" s="19">
        <v>0</v>
      </c>
      <c r="Q171" s="38">
        <v>0</v>
      </c>
      <c r="R171" s="38">
        <v>0</v>
      </c>
      <c r="S171" s="38">
        <v>0</v>
      </c>
      <c r="T171" s="18">
        <f t="shared" ref="T171" si="177">W171</f>
        <v>0</v>
      </c>
      <c r="U171" s="19"/>
      <c r="V171" s="19">
        <v>0</v>
      </c>
      <c r="W171" s="19">
        <v>0</v>
      </c>
      <c r="X171" s="19">
        <v>0</v>
      </c>
      <c r="Y171" s="18">
        <f t="shared" ref="Y171" si="178">SUM(Z171:AC171)</f>
        <v>1146.8</v>
      </c>
      <c r="Z171" s="19">
        <v>0</v>
      </c>
      <c r="AA171" s="19">
        <v>0</v>
      </c>
      <c r="AB171" s="19">
        <f>1539-392.2</f>
        <v>1146.8</v>
      </c>
      <c r="AC171" s="19">
        <v>0</v>
      </c>
      <c r="AD171" s="18">
        <f t="shared" ref="AD171" si="179">SUM(AE171:AH171)</f>
        <v>0</v>
      </c>
      <c r="AE171" s="19">
        <v>0</v>
      </c>
      <c r="AF171" s="20">
        <v>0</v>
      </c>
      <c r="AG171" s="19">
        <v>0</v>
      </c>
      <c r="AH171" s="20">
        <f t="shared" ref="AH171" si="180">AM171</f>
        <v>0</v>
      </c>
      <c r="AI171" s="18">
        <f t="shared" ref="AI171" si="181">SUM(AJ171:AM171)</f>
        <v>0</v>
      </c>
      <c r="AJ171" s="19">
        <v>0</v>
      </c>
      <c r="AK171" s="20">
        <v>0</v>
      </c>
      <c r="AL171" s="38">
        <v>0</v>
      </c>
      <c r="AM171" s="38">
        <v>0</v>
      </c>
    </row>
    <row r="172" spans="1:39" s="2" customFormat="1" ht="56.25" customHeight="1" outlineLevel="3" x14ac:dyDescent="0.25">
      <c r="A172" s="8" t="s">
        <v>1124</v>
      </c>
      <c r="B172" s="28" t="s">
        <v>1125</v>
      </c>
      <c r="C172" s="26" t="s">
        <v>32</v>
      </c>
      <c r="D172" s="26" t="s">
        <v>8</v>
      </c>
      <c r="E172" s="20">
        <f t="shared" ref="E172" si="182">SUM(F172:I172)</f>
        <v>1499.1</v>
      </c>
      <c r="F172" s="38">
        <f t="shared" ref="F172" si="183">K172+P172+U172+Z172+AE172+AJ172</f>
        <v>0</v>
      </c>
      <c r="G172" s="38">
        <f t="shared" ref="G172" si="184">L172+Q172+V172+AA172+AF172+AK172</f>
        <v>0</v>
      </c>
      <c r="H172" s="38">
        <f t="shared" ref="H172" si="185">M172+R172+W172+AB172+AG172+AL172</f>
        <v>1499.1</v>
      </c>
      <c r="I172" s="38">
        <f t="shared" ref="I172" si="186">N172+S172+X172+AC172+AH172+AM172</f>
        <v>0</v>
      </c>
      <c r="J172" s="18">
        <f t="shared" ref="J172" si="187">SUM(K172:N172)</f>
        <v>0</v>
      </c>
      <c r="K172" s="19">
        <v>0</v>
      </c>
      <c r="L172" s="19">
        <v>0</v>
      </c>
      <c r="M172" s="38">
        <v>0</v>
      </c>
      <c r="N172" s="20">
        <v>0</v>
      </c>
      <c r="O172" s="18">
        <f t="shared" ref="O172" si="188">SUM(P172:S172)</f>
        <v>0</v>
      </c>
      <c r="P172" s="19">
        <v>0</v>
      </c>
      <c r="Q172" s="38">
        <v>0</v>
      </c>
      <c r="R172" s="38">
        <v>0</v>
      </c>
      <c r="S172" s="38">
        <v>0</v>
      </c>
      <c r="T172" s="18">
        <f t="shared" ref="T172" si="189">W172</f>
        <v>0</v>
      </c>
      <c r="U172" s="19"/>
      <c r="V172" s="19">
        <v>0</v>
      </c>
      <c r="W172" s="19">
        <v>0</v>
      </c>
      <c r="X172" s="19">
        <v>0</v>
      </c>
      <c r="Y172" s="18">
        <f t="shared" ref="Y172" si="190">SUM(Z172:AC172)</f>
        <v>0</v>
      </c>
      <c r="Z172" s="19">
        <v>0</v>
      </c>
      <c r="AA172" s="19">
        <v>0</v>
      </c>
      <c r="AB172" s="19">
        <v>0</v>
      </c>
      <c r="AC172" s="19">
        <v>0</v>
      </c>
      <c r="AD172" s="18">
        <f t="shared" ref="AD172" si="191">SUM(AE172:AH172)</f>
        <v>1499.1</v>
      </c>
      <c r="AE172" s="19">
        <v>0</v>
      </c>
      <c r="AF172" s="20">
        <v>0</v>
      </c>
      <c r="AG172" s="19">
        <v>1499.1</v>
      </c>
      <c r="AH172" s="20">
        <f t="shared" ref="AH172" si="192">AM172</f>
        <v>0</v>
      </c>
      <c r="AI172" s="18">
        <f t="shared" ref="AI172" si="193">SUM(AJ172:AM172)</f>
        <v>0</v>
      </c>
      <c r="AJ172" s="19">
        <v>0</v>
      </c>
      <c r="AK172" s="20">
        <v>0</v>
      </c>
      <c r="AL172" s="38">
        <v>0</v>
      </c>
      <c r="AM172" s="38">
        <v>0</v>
      </c>
    </row>
    <row r="173" spans="1:39" s="2" customFormat="1" ht="54" customHeight="1" outlineLevel="2" x14ac:dyDescent="0.25">
      <c r="A173" s="165" t="s">
        <v>543</v>
      </c>
      <c r="B173" s="196" t="s">
        <v>542</v>
      </c>
      <c r="C173" s="196"/>
      <c r="D173" s="197"/>
      <c r="E173" s="20">
        <f t="shared" ref="E173:X173" si="194">SUM(E174:E185)</f>
        <v>7253.3</v>
      </c>
      <c r="F173" s="20">
        <f t="shared" si="194"/>
        <v>0</v>
      </c>
      <c r="G173" s="20">
        <f t="shared" si="194"/>
        <v>0</v>
      </c>
      <c r="H173" s="20">
        <f t="shared" si="194"/>
        <v>7253.3</v>
      </c>
      <c r="I173" s="20">
        <f t="shared" si="194"/>
        <v>0</v>
      </c>
      <c r="J173" s="20">
        <f t="shared" si="194"/>
        <v>1434.5</v>
      </c>
      <c r="K173" s="20">
        <f t="shared" si="194"/>
        <v>0</v>
      </c>
      <c r="L173" s="20">
        <f t="shared" si="194"/>
        <v>0</v>
      </c>
      <c r="M173" s="20">
        <f t="shared" si="194"/>
        <v>1434.5</v>
      </c>
      <c r="N173" s="20">
        <f t="shared" si="194"/>
        <v>0</v>
      </c>
      <c r="O173" s="20">
        <f t="shared" si="194"/>
        <v>1030.9000000000001</v>
      </c>
      <c r="P173" s="20">
        <f t="shared" si="194"/>
        <v>0</v>
      </c>
      <c r="Q173" s="20">
        <f t="shared" si="194"/>
        <v>0</v>
      </c>
      <c r="R173" s="20">
        <f>SUM(R174:R185)</f>
        <v>1030.9000000000001</v>
      </c>
      <c r="S173" s="20">
        <f t="shared" si="194"/>
        <v>0</v>
      </c>
      <c r="T173" s="20">
        <f t="shared" si="194"/>
        <v>1115.8999999999999</v>
      </c>
      <c r="U173" s="20">
        <f t="shared" si="194"/>
        <v>0</v>
      </c>
      <c r="V173" s="20">
        <f t="shared" si="194"/>
        <v>0</v>
      </c>
      <c r="W173" s="20">
        <f t="shared" si="194"/>
        <v>1115.8999999999999</v>
      </c>
      <c r="X173" s="20">
        <f t="shared" si="194"/>
        <v>0</v>
      </c>
      <c r="Y173" s="20">
        <f t="shared" ref="Y173:AM173" si="195">SUM(Y174:Y185)</f>
        <v>1176.3</v>
      </c>
      <c r="Z173" s="20">
        <f t="shared" si="195"/>
        <v>0</v>
      </c>
      <c r="AA173" s="20">
        <f t="shared" si="195"/>
        <v>0</v>
      </c>
      <c r="AB173" s="20">
        <f t="shared" si="195"/>
        <v>1176.3</v>
      </c>
      <c r="AC173" s="20">
        <f t="shared" si="195"/>
        <v>0</v>
      </c>
      <c r="AD173" s="20">
        <f t="shared" si="195"/>
        <v>1223.2</v>
      </c>
      <c r="AE173" s="20">
        <f t="shared" si="195"/>
        <v>0</v>
      </c>
      <c r="AF173" s="20">
        <f t="shared" si="195"/>
        <v>0</v>
      </c>
      <c r="AG173" s="20">
        <f t="shared" si="195"/>
        <v>1223.2</v>
      </c>
      <c r="AH173" s="20">
        <f t="shared" si="195"/>
        <v>0</v>
      </c>
      <c r="AI173" s="20">
        <f t="shared" si="195"/>
        <v>1272.5</v>
      </c>
      <c r="AJ173" s="20">
        <f t="shared" si="195"/>
        <v>0</v>
      </c>
      <c r="AK173" s="20">
        <f t="shared" si="195"/>
        <v>0</v>
      </c>
      <c r="AL173" s="20">
        <f t="shared" si="195"/>
        <v>1272.5</v>
      </c>
      <c r="AM173" s="20">
        <f t="shared" si="195"/>
        <v>0</v>
      </c>
    </row>
    <row r="174" spans="1:39" s="2" customFormat="1" ht="31.5" outlineLevel="3" x14ac:dyDescent="0.25">
      <c r="A174" s="8" t="s">
        <v>544</v>
      </c>
      <c r="B174" s="17" t="s">
        <v>66</v>
      </c>
      <c r="C174" s="26" t="s">
        <v>32</v>
      </c>
      <c r="D174" s="26" t="s">
        <v>118</v>
      </c>
      <c r="E174" s="20">
        <f t="shared" ref="E174:E185" si="196">SUM(F174:I174)</f>
        <v>169.79999999999998</v>
      </c>
      <c r="F174" s="20">
        <f>K174</f>
        <v>0</v>
      </c>
      <c r="G174" s="38">
        <f t="shared" ref="G174:G182" si="197">L174+Q174+V174+AA174+AF174+AK174</f>
        <v>0</v>
      </c>
      <c r="H174" s="38">
        <f t="shared" ref="H174:H182" si="198">M174+R174+W174+AB174+AG174+AL174</f>
        <v>169.79999999999998</v>
      </c>
      <c r="I174" s="38">
        <f t="shared" ref="I174:I182" si="199">N174+S174+X174+AC174+AH174+AM174</f>
        <v>0</v>
      </c>
      <c r="J174" s="18">
        <f t="shared" ref="J174:J185" si="200">SUM(K174:N174)</f>
        <v>25.6</v>
      </c>
      <c r="K174" s="19">
        <v>0</v>
      </c>
      <c r="L174" s="19">
        <v>0</v>
      </c>
      <c r="M174" s="46">
        <f>22+3.6</f>
        <v>25.6</v>
      </c>
      <c r="N174" s="20">
        <v>0</v>
      </c>
      <c r="O174" s="18">
        <f t="shared" ref="O174:O206" si="201">SUM(P174:S174)</f>
        <v>26.6</v>
      </c>
      <c r="P174" s="19">
        <v>0</v>
      </c>
      <c r="Q174" s="20">
        <v>0</v>
      </c>
      <c r="R174" s="46">
        <f>3.8+22.8</f>
        <v>26.6</v>
      </c>
      <c r="S174" s="20">
        <v>0</v>
      </c>
      <c r="T174" s="18">
        <f t="shared" ref="T174:T184" si="202">SUM(U174:X174)</f>
        <v>27.8</v>
      </c>
      <c r="U174" s="19">
        <v>0</v>
      </c>
      <c r="V174" s="20">
        <v>0</v>
      </c>
      <c r="W174" s="46">
        <v>27.8</v>
      </c>
      <c r="X174" s="20">
        <v>0</v>
      </c>
      <c r="Y174" s="18">
        <f t="shared" ref="Y174:Y206" si="203">SUM(Z174:AC174)</f>
        <v>28.8</v>
      </c>
      <c r="Z174" s="19">
        <v>0</v>
      </c>
      <c r="AA174" s="20">
        <v>0</v>
      </c>
      <c r="AB174" s="108">
        <v>28.8</v>
      </c>
      <c r="AC174" s="20">
        <v>0</v>
      </c>
      <c r="AD174" s="18">
        <f>SUM(AE174:AH174)</f>
        <v>29.9</v>
      </c>
      <c r="AE174" s="19">
        <v>0</v>
      </c>
      <c r="AF174" s="20">
        <v>0</v>
      </c>
      <c r="AG174" s="108">
        <v>29.9</v>
      </c>
      <c r="AH174" s="20">
        <v>0</v>
      </c>
      <c r="AI174" s="18">
        <f t="shared" ref="AI174:AI206" si="204">SUM(AJ174:AM174)</f>
        <v>31.1</v>
      </c>
      <c r="AJ174" s="19">
        <v>0</v>
      </c>
      <c r="AK174" s="20">
        <v>0</v>
      </c>
      <c r="AL174" s="108">
        <v>31.1</v>
      </c>
      <c r="AM174" s="20">
        <v>0</v>
      </c>
    </row>
    <row r="175" spans="1:39" s="2" customFormat="1" ht="31.5" outlineLevel="3" x14ac:dyDescent="0.25">
      <c r="A175" s="8" t="s">
        <v>545</v>
      </c>
      <c r="B175" s="17" t="s">
        <v>59</v>
      </c>
      <c r="C175" s="26" t="s">
        <v>32</v>
      </c>
      <c r="D175" s="26" t="s">
        <v>118</v>
      </c>
      <c r="E175" s="20">
        <f t="shared" si="196"/>
        <v>628.4</v>
      </c>
      <c r="F175" s="20">
        <f t="shared" ref="F175:F185" si="205">K175</f>
        <v>0</v>
      </c>
      <c r="G175" s="38">
        <f t="shared" si="197"/>
        <v>0</v>
      </c>
      <c r="H175" s="38">
        <f t="shared" si="198"/>
        <v>628.4</v>
      </c>
      <c r="I175" s="38">
        <f t="shared" si="199"/>
        <v>0</v>
      </c>
      <c r="J175" s="18">
        <f t="shared" si="200"/>
        <v>94.7</v>
      </c>
      <c r="K175" s="19">
        <v>0</v>
      </c>
      <c r="L175" s="19">
        <v>0</v>
      </c>
      <c r="M175" s="46">
        <f>81.3+13.4</f>
        <v>94.7</v>
      </c>
      <c r="N175" s="20">
        <v>0</v>
      </c>
      <c r="O175" s="18">
        <f t="shared" si="201"/>
        <v>98.5</v>
      </c>
      <c r="P175" s="19">
        <v>0</v>
      </c>
      <c r="Q175" s="20">
        <v>0</v>
      </c>
      <c r="R175" s="46">
        <v>98.5</v>
      </c>
      <c r="S175" s="20">
        <v>0</v>
      </c>
      <c r="T175" s="18">
        <f t="shared" si="202"/>
        <v>102.7</v>
      </c>
      <c r="U175" s="19">
        <v>0</v>
      </c>
      <c r="V175" s="20">
        <v>0</v>
      </c>
      <c r="W175" s="46">
        <v>102.7</v>
      </c>
      <c r="X175" s="20">
        <v>0</v>
      </c>
      <c r="Y175" s="18">
        <f t="shared" si="203"/>
        <v>106.5</v>
      </c>
      <c r="Z175" s="19">
        <v>0</v>
      </c>
      <c r="AA175" s="20">
        <v>0</v>
      </c>
      <c r="AB175" s="108">
        <v>106.5</v>
      </c>
      <c r="AC175" s="20">
        <v>0</v>
      </c>
      <c r="AD175" s="18">
        <f t="shared" ref="AD175:AD206" si="206">SUM(AE175:AH175)</f>
        <v>110.8</v>
      </c>
      <c r="AE175" s="19">
        <v>0</v>
      </c>
      <c r="AF175" s="20">
        <v>0</v>
      </c>
      <c r="AG175" s="108">
        <v>110.8</v>
      </c>
      <c r="AH175" s="20">
        <v>0</v>
      </c>
      <c r="AI175" s="18">
        <f t="shared" si="204"/>
        <v>115.2</v>
      </c>
      <c r="AJ175" s="19">
        <v>0</v>
      </c>
      <c r="AK175" s="20">
        <v>0</v>
      </c>
      <c r="AL175" s="108">
        <v>115.2</v>
      </c>
      <c r="AM175" s="20">
        <v>0</v>
      </c>
    </row>
    <row r="176" spans="1:39" s="2" customFormat="1" ht="31.5" outlineLevel="3" x14ac:dyDescent="0.25">
      <c r="A176" s="8" t="s">
        <v>546</v>
      </c>
      <c r="B176" s="17" t="s">
        <v>49</v>
      </c>
      <c r="C176" s="26" t="s">
        <v>32</v>
      </c>
      <c r="D176" s="26" t="s">
        <v>118</v>
      </c>
      <c r="E176" s="20">
        <f t="shared" si="196"/>
        <v>711.69999999999993</v>
      </c>
      <c r="F176" s="20">
        <f>K176</f>
        <v>0</v>
      </c>
      <c r="G176" s="38">
        <f t="shared" si="197"/>
        <v>0</v>
      </c>
      <c r="H176" s="38">
        <f t="shared" si="198"/>
        <v>711.69999999999993</v>
      </c>
      <c r="I176" s="38">
        <f t="shared" si="199"/>
        <v>0</v>
      </c>
      <c r="J176" s="18">
        <f t="shared" si="200"/>
        <v>107.3</v>
      </c>
      <c r="K176" s="19">
        <v>0</v>
      </c>
      <c r="L176" s="19">
        <v>0</v>
      </c>
      <c r="M176" s="46">
        <f>15.2+92.1</f>
        <v>107.3</v>
      </c>
      <c r="N176" s="20">
        <v>0</v>
      </c>
      <c r="O176" s="18">
        <f t="shared" si="201"/>
        <v>111.6</v>
      </c>
      <c r="P176" s="19">
        <v>0</v>
      </c>
      <c r="Q176" s="20">
        <v>0</v>
      </c>
      <c r="R176" s="46">
        <v>111.6</v>
      </c>
      <c r="S176" s="20">
        <v>0</v>
      </c>
      <c r="T176" s="18">
        <f t="shared" si="202"/>
        <v>116.3</v>
      </c>
      <c r="U176" s="19">
        <v>0</v>
      </c>
      <c r="V176" s="20">
        <v>0</v>
      </c>
      <c r="W176" s="46">
        <v>116.3</v>
      </c>
      <c r="X176" s="20">
        <v>0</v>
      </c>
      <c r="Y176" s="18">
        <f t="shared" si="203"/>
        <v>120.6</v>
      </c>
      <c r="Z176" s="19">
        <v>0</v>
      </c>
      <c r="AA176" s="20">
        <v>0</v>
      </c>
      <c r="AB176" s="108">
        <v>120.6</v>
      </c>
      <c r="AC176" s="20">
        <v>0</v>
      </c>
      <c r="AD176" s="18">
        <f t="shared" si="206"/>
        <v>125.4</v>
      </c>
      <c r="AE176" s="19">
        <v>0</v>
      </c>
      <c r="AF176" s="20">
        <v>0</v>
      </c>
      <c r="AG176" s="108">
        <v>125.4</v>
      </c>
      <c r="AH176" s="20">
        <v>0</v>
      </c>
      <c r="AI176" s="18">
        <f t="shared" si="204"/>
        <v>130.5</v>
      </c>
      <c r="AJ176" s="19">
        <v>0</v>
      </c>
      <c r="AK176" s="20">
        <v>0</v>
      </c>
      <c r="AL176" s="108">
        <v>130.5</v>
      </c>
      <c r="AM176" s="20">
        <v>0</v>
      </c>
    </row>
    <row r="177" spans="1:39" s="2" customFormat="1" ht="31.5" outlineLevel="3" x14ac:dyDescent="0.25">
      <c r="A177" s="8" t="s">
        <v>547</v>
      </c>
      <c r="B177" s="17" t="s">
        <v>51</v>
      </c>
      <c r="C177" s="26" t="s">
        <v>32</v>
      </c>
      <c r="D177" s="26" t="s">
        <v>118</v>
      </c>
      <c r="E177" s="20">
        <f t="shared" si="196"/>
        <v>698.90000000000009</v>
      </c>
      <c r="F177" s="20">
        <f>K177</f>
        <v>0</v>
      </c>
      <c r="G177" s="38">
        <f t="shared" si="197"/>
        <v>0</v>
      </c>
      <c r="H177" s="38">
        <f t="shared" si="198"/>
        <v>698.90000000000009</v>
      </c>
      <c r="I177" s="38">
        <f t="shared" si="199"/>
        <v>0</v>
      </c>
      <c r="J177" s="18">
        <f t="shared" si="200"/>
        <v>105.4</v>
      </c>
      <c r="K177" s="19">
        <v>0</v>
      </c>
      <c r="L177" s="19">
        <v>0</v>
      </c>
      <c r="M177" s="46">
        <f>14.9+90.5</f>
        <v>105.4</v>
      </c>
      <c r="N177" s="20">
        <v>0</v>
      </c>
      <c r="O177" s="18">
        <f t="shared" si="201"/>
        <v>109.6</v>
      </c>
      <c r="P177" s="19">
        <v>0</v>
      </c>
      <c r="Q177" s="20">
        <v>0</v>
      </c>
      <c r="R177" s="46">
        <v>109.6</v>
      </c>
      <c r="S177" s="20">
        <v>0</v>
      </c>
      <c r="T177" s="18">
        <f t="shared" si="202"/>
        <v>114.2</v>
      </c>
      <c r="U177" s="19">
        <v>0</v>
      </c>
      <c r="V177" s="20">
        <v>0</v>
      </c>
      <c r="W177" s="46">
        <v>114.2</v>
      </c>
      <c r="X177" s="20">
        <v>0</v>
      </c>
      <c r="Y177" s="18">
        <f t="shared" si="203"/>
        <v>118.4</v>
      </c>
      <c r="Z177" s="19">
        <v>0</v>
      </c>
      <c r="AA177" s="20">
        <v>0</v>
      </c>
      <c r="AB177" s="108">
        <v>118.4</v>
      </c>
      <c r="AC177" s="20">
        <v>0</v>
      </c>
      <c r="AD177" s="18">
        <f t="shared" si="206"/>
        <v>123.2</v>
      </c>
      <c r="AE177" s="19">
        <v>0</v>
      </c>
      <c r="AF177" s="20">
        <v>0</v>
      </c>
      <c r="AG177" s="108">
        <v>123.2</v>
      </c>
      <c r="AH177" s="20">
        <v>0</v>
      </c>
      <c r="AI177" s="18">
        <f t="shared" si="204"/>
        <v>128.1</v>
      </c>
      <c r="AJ177" s="19">
        <v>0</v>
      </c>
      <c r="AK177" s="20">
        <v>0</v>
      </c>
      <c r="AL177" s="108">
        <v>128.1</v>
      </c>
      <c r="AM177" s="20">
        <v>0</v>
      </c>
    </row>
    <row r="178" spans="1:39" s="2" customFormat="1" ht="31.5" outlineLevel="3" x14ac:dyDescent="0.25">
      <c r="A178" s="8" t="s">
        <v>548</v>
      </c>
      <c r="B178" s="17" t="s">
        <v>52</v>
      </c>
      <c r="C178" s="26" t="s">
        <v>32</v>
      </c>
      <c r="D178" s="26" t="s">
        <v>118</v>
      </c>
      <c r="E178" s="20">
        <f t="shared" si="196"/>
        <v>115.5</v>
      </c>
      <c r="F178" s="20">
        <f t="shared" si="205"/>
        <v>0</v>
      </c>
      <c r="G178" s="38">
        <f t="shared" si="197"/>
        <v>0</v>
      </c>
      <c r="H178" s="38">
        <f t="shared" si="198"/>
        <v>115.5</v>
      </c>
      <c r="I178" s="38">
        <f t="shared" si="199"/>
        <v>0</v>
      </c>
      <c r="J178" s="18">
        <f t="shared" si="200"/>
        <v>17.399999999999999</v>
      </c>
      <c r="K178" s="19">
        <v>0</v>
      </c>
      <c r="L178" s="19">
        <v>0</v>
      </c>
      <c r="M178" s="46">
        <f>2.5+14.9</f>
        <v>17.399999999999999</v>
      </c>
      <c r="N178" s="20">
        <v>0</v>
      </c>
      <c r="O178" s="18">
        <f t="shared" si="201"/>
        <v>18.100000000000001</v>
      </c>
      <c r="P178" s="19">
        <v>0</v>
      </c>
      <c r="Q178" s="20">
        <v>0</v>
      </c>
      <c r="R178" s="46">
        <f>2.6+15.5</f>
        <v>18.100000000000001</v>
      </c>
      <c r="S178" s="20">
        <v>0</v>
      </c>
      <c r="T178" s="18">
        <f t="shared" si="202"/>
        <v>18.899999999999999</v>
      </c>
      <c r="U178" s="19">
        <v>0</v>
      </c>
      <c r="V178" s="20">
        <v>0</v>
      </c>
      <c r="W178" s="46">
        <v>18.899999999999999</v>
      </c>
      <c r="X178" s="20">
        <v>0</v>
      </c>
      <c r="Y178" s="18">
        <f t="shared" si="203"/>
        <v>19.600000000000001</v>
      </c>
      <c r="Z178" s="19">
        <v>0</v>
      </c>
      <c r="AA178" s="20">
        <v>0</v>
      </c>
      <c r="AB178" s="108">
        <v>19.600000000000001</v>
      </c>
      <c r="AC178" s="20">
        <v>0</v>
      </c>
      <c r="AD178" s="18">
        <f t="shared" si="206"/>
        <v>20.3</v>
      </c>
      <c r="AE178" s="19">
        <v>0</v>
      </c>
      <c r="AF178" s="20">
        <v>0</v>
      </c>
      <c r="AG178" s="108">
        <v>20.3</v>
      </c>
      <c r="AH178" s="20">
        <v>0</v>
      </c>
      <c r="AI178" s="18">
        <f t="shared" si="204"/>
        <v>21.2</v>
      </c>
      <c r="AJ178" s="19">
        <v>0</v>
      </c>
      <c r="AK178" s="20">
        <v>0</v>
      </c>
      <c r="AL178" s="108">
        <v>21.2</v>
      </c>
      <c r="AM178" s="20">
        <v>0</v>
      </c>
    </row>
    <row r="179" spans="1:39" s="2" customFormat="1" ht="31.5" outlineLevel="3" x14ac:dyDescent="0.25">
      <c r="A179" s="8" t="s">
        <v>549</v>
      </c>
      <c r="B179" s="17" t="s">
        <v>64</v>
      </c>
      <c r="C179" s="26" t="s">
        <v>32</v>
      </c>
      <c r="D179" s="26" t="s">
        <v>118</v>
      </c>
      <c r="E179" s="20">
        <f t="shared" si="196"/>
        <v>833.59999999999991</v>
      </c>
      <c r="F179" s="20">
        <f>K179</f>
        <v>0</v>
      </c>
      <c r="G179" s="38">
        <f t="shared" si="197"/>
        <v>0</v>
      </c>
      <c r="H179" s="38">
        <f t="shared" si="198"/>
        <v>833.59999999999991</v>
      </c>
      <c r="I179" s="38">
        <f t="shared" si="199"/>
        <v>0</v>
      </c>
      <c r="J179" s="18">
        <f t="shared" si="200"/>
        <v>125.7</v>
      </c>
      <c r="K179" s="19">
        <v>0</v>
      </c>
      <c r="L179" s="19">
        <v>0</v>
      </c>
      <c r="M179" s="46">
        <f>17.8+107.9</f>
        <v>125.7</v>
      </c>
      <c r="N179" s="20">
        <v>0</v>
      </c>
      <c r="O179" s="18">
        <f t="shared" si="201"/>
        <v>130.69999999999999</v>
      </c>
      <c r="P179" s="19">
        <v>0</v>
      </c>
      <c r="Q179" s="20">
        <v>0</v>
      </c>
      <c r="R179" s="46">
        <v>130.69999999999999</v>
      </c>
      <c r="S179" s="20">
        <v>0</v>
      </c>
      <c r="T179" s="18">
        <f t="shared" si="202"/>
        <v>136.19999999999999</v>
      </c>
      <c r="U179" s="19">
        <v>0</v>
      </c>
      <c r="V179" s="20">
        <v>0</v>
      </c>
      <c r="W179" s="46">
        <v>136.19999999999999</v>
      </c>
      <c r="X179" s="20">
        <v>0</v>
      </c>
      <c r="Y179" s="18">
        <f t="shared" si="203"/>
        <v>141.30000000000001</v>
      </c>
      <c r="Z179" s="19">
        <v>0</v>
      </c>
      <c r="AA179" s="20">
        <v>0</v>
      </c>
      <c r="AB179" s="108">
        <v>141.30000000000001</v>
      </c>
      <c r="AC179" s="20">
        <v>0</v>
      </c>
      <c r="AD179" s="18">
        <f t="shared" si="206"/>
        <v>146.9</v>
      </c>
      <c r="AE179" s="19">
        <v>0</v>
      </c>
      <c r="AF179" s="20">
        <v>0</v>
      </c>
      <c r="AG179" s="108">
        <v>146.9</v>
      </c>
      <c r="AH179" s="20">
        <v>0</v>
      </c>
      <c r="AI179" s="18">
        <f t="shared" si="204"/>
        <v>152.80000000000001</v>
      </c>
      <c r="AJ179" s="19">
        <v>0</v>
      </c>
      <c r="AK179" s="20">
        <v>0</v>
      </c>
      <c r="AL179" s="108">
        <v>152.80000000000001</v>
      </c>
      <c r="AM179" s="20">
        <v>0</v>
      </c>
    </row>
    <row r="180" spans="1:39" s="2" customFormat="1" ht="31.5" outlineLevel="3" x14ac:dyDescent="0.25">
      <c r="A180" s="8" t="s">
        <v>550</v>
      </c>
      <c r="B180" s="17" t="s">
        <v>53</v>
      </c>
      <c r="C180" s="26" t="s">
        <v>32</v>
      </c>
      <c r="D180" s="26" t="s">
        <v>118</v>
      </c>
      <c r="E180" s="20">
        <f t="shared" si="196"/>
        <v>923.39999999999986</v>
      </c>
      <c r="F180" s="20">
        <f>K180</f>
        <v>0</v>
      </c>
      <c r="G180" s="38">
        <f t="shared" si="197"/>
        <v>0</v>
      </c>
      <c r="H180" s="38">
        <f t="shared" si="198"/>
        <v>923.39999999999986</v>
      </c>
      <c r="I180" s="38">
        <f t="shared" si="199"/>
        <v>0</v>
      </c>
      <c r="J180" s="18">
        <f t="shared" si="200"/>
        <v>139.19999999999999</v>
      </c>
      <c r="K180" s="19">
        <v>0</v>
      </c>
      <c r="L180" s="19">
        <v>0</v>
      </c>
      <c r="M180" s="46">
        <f>19.7+119.5</f>
        <v>139.19999999999999</v>
      </c>
      <c r="N180" s="20">
        <v>0</v>
      </c>
      <c r="O180" s="18">
        <f t="shared" si="201"/>
        <v>144.80000000000001</v>
      </c>
      <c r="P180" s="19">
        <v>0</v>
      </c>
      <c r="Q180" s="20">
        <v>0</v>
      </c>
      <c r="R180" s="46">
        <v>144.80000000000001</v>
      </c>
      <c r="S180" s="20">
        <v>0</v>
      </c>
      <c r="T180" s="18">
        <f t="shared" si="202"/>
        <v>150.9</v>
      </c>
      <c r="U180" s="19">
        <v>0</v>
      </c>
      <c r="V180" s="20">
        <v>0</v>
      </c>
      <c r="W180" s="46">
        <v>150.9</v>
      </c>
      <c r="X180" s="20">
        <v>0</v>
      </c>
      <c r="Y180" s="18">
        <f t="shared" si="203"/>
        <v>156.5</v>
      </c>
      <c r="Z180" s="19">
        <v>0</v>
      </c>
      <c r="AA180" s="20">
        <v>0</v>
      </c>
      <c r="AB180" s="108">
        <v>156.5</v>
      </c>
      <c r="AC180" s="20">
        <v>0</v>
      </c>
      <c r="AD180" s="18">
        <f>SUM(AE180:AH180)</f>
        <v>162.69999999999999</v>
      </c>
      <c r="AE180" s="19">
        <v>0</v>
      </c>
      <c r="AF180" s="20">
        <v>0</v>
      </c>
      <c r="AG180" s="108">
        <v>162.69999999999999</v>
      </c>
      <c r="AH180" s="20">
        <v>0</v>
      </c>
      <c r="AI180" s="18">
        <f t="shared" si="204"/>
        <v>169.3</v>
      </c>
      <c r="AJ180" s="19">
        <v>0</v>
      </c>
      <c r="AK180" s="20">
        <v>0</v>
      </c>
      <c r="AL180" s="108">
        <v>169.3</v>
      </c>
      <c r="AM180" s="20">
        <v>0</v>
      </c>
    </row>
    <row r="181" spans="1:39" s="2" customFormat="1" ht="31.5" outlineLevel="3" x14ac:dyDescent="0.25">
      <c r="A181" s="8" t="s">
        <v>551</v>
      </c>
      <c r="B181" s="17" t="s">
        <v>62</v>
      </c>
      <c r="C181" s="26" t="s">
        <v>32</v>
      </c>
      <c r="D181" s="26" t="s">
        <v>118</v>
      </c>
      <c r="E181" s="20">
        <f t="shared" si="196"/>
        <v>289</v>
      </c>
      <c r="F181" s="20">
        <f>K181</f>
        <v>0</v>
      </c>
      <c r="G181" s="38">
        <f t="shared" si="197"/>
        <v>0</v>
      </c>
      <c r="H181" s="38">
        <f t="shared" si="198"/>
        <v>289</v>
      </c>
      <c r="I181" s="38">
        <f t="shared" si="199"/>
        <v>0</v>
      </c>
      <c r="J181" s="18">
        <f t="shared" si="200"/>
        <v>33.300000000000004</v>
      </c>
      <c r="K181" s="19">
        <v>0</v>
      </c>
      <c r="L181" s="19">
        <v>0</v>
      </c>
      <c r="M181" s="46">
        <f>4.7+28.6</f>
        <v>33.300000000000004</v>
      </c>
      <c r="N181" s="20">
        <v>0</v>
      </c>
      <c r="O181" s="18">
        <f t="shared" si="201"/>
        <v>34.6</v>
      </c>
      <c r="P181" s="19">
        <v>0</v>
      </c>
      <c r="Q181" s="20">
        <v>0</v>
      </c>
      <c r="R181" s="46">
        <v>34.6</v>
      </c>
      <c r="S181" s="20">
        <v>0</v>
      </c>
      <c r="T181" s="18">
        <f t="shared" si="202"/>
        <v>36.200000000000003</v>
      </c>
      <c r="U181" s="19">
        <v>0</v>
      </c>
      <c r="V181" s="20">
        <v>0</v>
      </c>
      <c r="W181" s="46">
        <v>36.200000000000003</v>
      </c>
      <c r="X181" s="20">
        <v>0</v>
      </c>
      <c r="Y181" s="18">
        <f t="shared" si="203"/>
        <v>59.2</v>
      </c>
      <c r="Z181" s="19">
        <v>0</v>
      </c>
      <c r="AA181" s="20">
        <v>0</v>
      </c>
      <c r="AB181" s="108">
        <f>37.5+21.7</f>
        <v>59.2</v>
      </c>
      <c r="AC181" s="20">
        <v>0</v>
      </c>
      <c r="AD181" s="18">
        <f t="shared" si="206"/>
        <v>61.6</v>
      </c>
      <c r="AE181" s="19">
        <v>0</v>
      </c>
      <c r="AF181" s="20">
        <v>0</v>
      </c>
      <c r="AG181" s="108">
        <f>39+22.6</f>
        <v>61.6</v>
      </c>
      <c r="AH181" s="20">
        <v>0</v>
      </c>
      <c r="AI181" s="18">
        <f t="shared" si="204"/>
        <v>64.099999999999994</v>
      </c>
      <c r="AJ181" s="19">
        <v>0</v>
      </c>
      <c r="AK181" s="20">
        <v>0</v>
      </c>
      <c r="AL181" s="108">
        <f>40.5+23.6</f>
        <v>64.099999999999994</v>
      </c>
      <c r="AM181" s="20">
        <v>0</v>
      </c>
    </row>
    <row r="182" spans="1:39" s="2" customFormat="1" ht="31.5" outlineLevel="3" x14ac:dyDescent="0.25">
      <c r="A182" s="8" t="s">
        <v>552</v>
      </c>
      <c r="B182" s="17" t="s">
        <v>60</v>
      </c>
      <c r="C182" s="26" t="s">
        <v>32</v>
      </c>
      <c r="D182" s="26" t="s">
        <v>118</v>
      </c>
      <c r="E182" s="20">
        <f t="shared" si="196"/>
        <v>422.9</v>
      </c>
      <c r="F182" s="20">
        <f t="shared" si="205"/>
        <v>0</v>
      </c>
      <c r="G182" s="38">
        <f t="shared" si="197"/>
        <v>0</v>
      </c>
      <c r="H182" s="38">
        <f t="shared" si="198"/>
        <v>422.9</v>
      </c>
      <c r="I182" s="38">
        <f t="shared" si="199"/>
        <v>0</v>
      </c>
      <c r="J182" s="18">
        <f t="shared" si="200"/>
        <v>70.100000000000009</v>
      </c>
      <c r="K182" s="19">
        <v>0</v>
      </c>
      <c r="L182" s="19">
        <v>0</v>
      </c>
      <c r="M182" s="46">
        <f>60.2+9.9</f>
        <v>70.100000000000009</v>
      </c>
      <c r="N182" s="20">
        <v>0</v>
      </c>
      <c r="O182" s="18">
        <f t="shared" si="201"/>
        <v>72.900000000000006</v>
      </c>
      <c r="P182" s="19">
        <v>0</v>
      </c>
      <c r="Q182" s="20">
        <v>0</v>
      </c>
      <c r="R182" s="46">
        <v>72.900000000000006</v>
      </c>
      <c r="S182" s="20">
        <v>0</v>
      </c>
      <c r="T182" s="18">
        <f t="shared" si="202"/>
        <v>67.900000000000006</v>
      </c>
      <c r="U182" s="19">
        <v>0</v>
      </c>
      <c r="V182" s="20">
        <v>0</v>
      </c>
      <c r="W182" s="46">
        <f>76-8.1</f>
        <v>67.900000000000006</v>
      </c>
      <c r="X182" s="20">
        <v>0</v>
      </c>
      <c r="Y182" s="18">
        <f t="shared" si="203"/>
        <v>67.900000000000006</v>
      </c>
      <c r="Z182" s="19">
        <v>0</v>
      </c>
      <c r="AA182" s="20">
        <v>0</v>
      </c>
      <c r="AB182" s="108">
        <v>67.900000000000006</v>
      </c>
      <c r="AC182" s="20">
        <v>0</v>
      </c>
      <c r="AD182" s="18">
        <f t="shared" si="206"/>
        <v>70.599999999999994</v>
      </c>
      <c r="AE182" s="19">
        <v>0</v>
      </c>
      <c r="AF182" s="20">
        <v>0</v>
      </c>
      <c r="AG182" s="108">
        <v>70.599999999999994</v>
      </c>
      <c r="AH182" s="20">
        <v>0</v>
      </c>
      <c r="AI182" s="18">
        <f t="shared" si="204"/>
        <v>73.5</v>
      </c>
      <c r="AJ182" s="19">
        <v>0</v>
      </c>
      <c r="AK182" s="20">
        <v>0</v>
      </c>
      <c r="AL182" s="108">
        <v>73.5</v>
      </c>
      <c r="AM182" s="20">
        <v>0</v>
      </c>
    </row>
    <row r="183" spans="1:39" s="2" customFormat="1" ht="31.5" outlineLevel="3" x14ac:dyDescent="0.25">
      <c r="A183" s="8" t="s">
        <v>553</v>
      </c>
      <c r="B183" s="17" t="s">
        <v>61</v>
      </c>
      <c r="C183" s="26" t="s">
        <v>32</v>
      </c>
      <c r="D183" s="26" t="s">
        <v>118</v>
      </c>
      <c r="E183" s="20">
        <f t="shared" si="196"/>
        <v>173</v>
      </c>
      <c r="F183" s="20">
        <f t="shared" si="205"/>
        <v>0</v>
      </c>
      <c r="G183" s="38">
        <f t="shared" ref="G183:I206" si="207">L183+Q183+V183+AA183+AF183+AK183</f>
        <v>0</v>
      </c>
      <c r="H183" s="38">
        <f t="shared" si="207"/>
        <v>173</v>
      </c>
      <c r="I183" s="38">
        <f t="shared" si="207"/>
        <v>0</v>
      </c>
      <c r="J183" s="18">
        <f t="shared" si="200"/>
        <v>26.099999999999998</v>
      </c>
      <c r="K183" s="19">
        <v>0</v>
      </c>
      <c r="L183" s="19">
        <v>0</v>
      </c>
      <c r="M183" s="46">
        <f>3.7+22.4</f>
        <v>26.099999999999998</v>
      </c>
      <c r="N183" s="20">
        <v>0</v>
      </c>
      <c r="O183" s="18">
        <f t="shared" si="201"/>
        <v>27.099999999999998</v>
      </c>
      <c r="P183" s="19">
        <v>0</v>
      </c>
      <c r="Q183" s="20">
        <v>0</v>
      </c>
      <c r="R183" s="46">
        <f>3.9+23.2</f>
        <v>27.099999999999998</v>
      </c>
      <c r="S183" s="20">
        <v>0</v>
      </c>
      <c r="T183" s="18">
        <f t="shared" si="202"/>
        <v>28.3</v>
      </c>
      <c r="U183" s="19">
        <v>0</v>
      </c>
      <c r="V183" s="20">
        <v>0</v>
      </c>
      <c r="W183" s="46">
        <v>28.3</v>
      </c>
      <c r="X183" s="20">
        <v>0</v>
      </c>
      <c r="Y183" s="18">
        <f t="shared" si="203"/>
        <v>29.3</v>
      </c>
      <c r="Z183" s="19">
        <v>0</v>
      </c>
      <c r="AA183" s="20">
        <v>0</v>
      </c>
      <c r="AB183" s="108">
        <v>29.3</v>
      </c>
      <c r="AC183" s="20">
        <v>0</v>
      </c>
      <c r="AD183" s="18">
        <f t="shared" si="206"/>
        <v>30.5</v>
      </c>
      <c r="AE183" s="19">
        <v>0</v>
      </c>
      <c r="AF183" s="20">
        <v>0</v>
      </c>
      <c r="AG183" s="108">
        <v>30.5</v>
      </c>
      <c r="AH183" s="20">
        <v>0</v>
      </c>
      <c r="AI183" s="18">
        <f t="shared" si="204"/>
        <v>31.7</v>
      </c>
      <c r="AJ183" s="19">
        <v>0</v>
      </c>
      <c r="AK183" s="20">
        <v>0</v>
      </c>
      <c r="AL183" s="108">
        <v>31.7</v>
      </c>
      <c r="AM183" s="20">
        <v>0</v>
      </c>
    </row>
    <row r="184" spans="1:39" s="2" customFormat="1" ht="31.5" outlineLevel="3" x14ac:dyDescent="0.25">
      <c r="A184" s="8" t="s">
        <v>554</v>
      </c>
      <c r="B184" s="17" t="s">
        <v>54</v>
      </c>
      <c r="C184" s="26" t="s">
        <v>32</v>
      </c>
      <c r="D184" s="26" t="s">
        <v>118</v>
      </c>
      <c r="E184" s="20">
        <f t="shared" si="196"/>
        <v>1581.8</v>
      </c>
      <c r="F184" s="20">
        <f t="shared" si="205"/>
        <v>0</v>
      </c>
      <c r="G184" s="38">
        <f t="shared" si="207"/>
        <v>0</v>
      </c>
      <c r="H184" s="38">
        <f t="shared" si="207"/>
        <v>1581.8</v>
      </c>
      <c r="I184" s="38">
        <f t="shared" si="207"/>
        <v>0</v>
      </c>
      <c r="J184" s="18">
        <f t="shared" si="200"/>
        <v>454.3</v>
      </c>
      <c r="K184" s="19">
        <v>0</v>
      </c>
      <c r="L184" s="19">
        <v>0</v>
      </c>
      <c r="M184" s="46">
        <v>454.3</v>
      </c>
      <c r="N184" s="20">
        <v>0</v>
      </c>
      <c r="O184" s="18">
        <f t="shared" si="201"/>
        <v>186.1</v>
      </c>
      <c r="P184" s="19">
        <v>0</v>
      </c>
      <c r="Q184" s="20">
        <v>0</v>
      </c>
      <c r="R184" s="46">
        <v>186.1</v>
      </c>
      <c r="S184" s="20">
        <v>0</v>
      </c>
      <c r="T184" s="18">
        <f t="shared" si="202"/>
        <v>222.20000000000002</v>
      </c>
      <c r="U184" s="19">
        <v>0</v>
      </c>
      <c r="V184" s="20">
        <v>0</v>
      </c>
      <c r="W184" s="46">
        <f>28.3+193.9</f>
        <v>222.20000000000002</v>
      </c>
      <c r="X184" s="20">
        <v>0</v>
      </c>
      <c r="Y184" s="18">
        <f t="shared" si="203"/>
        <v>230.4</v>
      </c>
      <c r="Z184" s="19">
        <v>0</v>
      </c>
      <c r="AA184" s="20">
        <v>0</v>
      </c>
      <c r="AB184" s="108">
        <v>230.4</v>
      </c>
      <c r="AC184" s="20">
        <v>0</v>
      </c>
      <c r="AD184" s="18">
        <f t="shared" si="206"/>
        <v>239.6</v>
      </c>
      <c r="AE184" s="19">
        <v>0</v>
      </c>
      <c r="AF184" s="20">
        <v>0</v>
      </c>
      <c r="AG184" s="108">
        <v>239.6</v>
      </c>
      <c r="AH184" s="20">
        <v>0</v>
      </c>
      <c r="AI184" s="18">
        <f t="shared" si="204"/>
        <v>249.2</v>
      </c>
      <c r="AJ184" s="19">
        <v>0</v>
      </c>
      <c r="AK184" s="20">
        <v>0</v>
      </c>
      <c r="AL184" s="108">
        <v>249.2</v>
      </c>
      <c r="AM184" s="20">
        <v>0</v>
      </c>
    </row>
    <row r="185" spans="1:39" s="2" customFormat="1" ht="31.5" outlineLevel="3" x14ac:dyDescent="0.25">
      <c r="A185" s="8" t="s">
        <v>555</v>
      </c>
      <c r="B185" s="17" t="s">
        <v>57</v>
      </c>
      <c r="C185" s="26" t="s">
        <v>32</v>
      </c>
      <c r="D185" s="26" t="s">
        <v>118</v>
      </c>
      <c r="E185" s="20">
        <f t="shared" si="196"/>
        <v>705.3</v>
      </c>
      <c r="F185" s="20">
        <f t="shared" si="205"/>
        <v>0</v>
      </c>
      <c r="G185" s="38">
        <f t="shared" si="207"/>
        <v>0</v>
      </c>
      <c r="H185" s="38">
        <f t="shared" si="207"/>
        <v>705.3</v>
      </c>
      <c r="I185" s="38">
        <f t="shared" si="207"/>
        <v>0</v>
      </c>
      <c r="J185" s="18">
        <f t="shared" si="200"/>
        <v>235.4</v>
      </c>
      <c r="K185" s="19">
        <v>0</v>
      </c>
      <c r="L185" s="19">
        <v>0</v>
      </c>
      <c r="M185" s="46">
        <v>235.4</v>
      </c>
      <c r="N185" s="20">
        <v>0</v>
      </c>
      <c r="O185" s="18">
        <f t="shared" si="201"/>
        <v>70.3</v>
      </c>
      <c r="P185" s="19">
        <v>0</v>
      </c>
      <c r="Q185" s="20">
        <v>0</v>
      </c>
      <c r="R185" s="46">
        <f>90.5-20.2</f>
        <v>70.3</v>
      </c>
      <c r="S185" s="20">
        <v>0</v>
      </c>
      <c r="T185" s="18">
        <f t="shared" ref="T185:T206" si="208">SUM(U185:X185)</f>
        <v>94.3</v>
      </c>
      <c r="U185" s="19">
        <v>0</v>
      </c>
      <c r="V185" s="20">
        <v>0</v>
      </c>
      <c r="W185" s="46">
        <v>94.3</v>
      </c>
      <c r="X185" s="20">
        <v>0</v>
      </c>
      <c r="Y185" s="18">
        <f t="shared" si="203"/>
        <v>97.8</v>
      </c>
      <c r="Z185" s="19">
        <v>0</v>
      </c>
      <c r="AA185" s="20">
        <v>0</v>
      </c>
      <c r="AB185" s="108">
        <v>97.8</v>
      </c>
      <c r="AC185" s="20">
        <v>0</v>
      </c>
      <c r="AD185" s="18">
        <f t="shared" si="206"/>
        <v>101.7</v>
      </c>
      <c r="AE185" s="19">
        <v>0</v>
      </c>
      <c r="AF185" s="20">
        <v>0</v>
      </c>
      <c r="AG185" s="108">
        <v>101.7</v>
      </c>
      <c r="AH185" s="20">
        <v>0</v>
      </c>
      <c r="AI185" s="18">
        <f t="shared" si="204"/>
        <v>105.8</v>
      </c>
      <c r="AJ185" s="19">
        <v>0</v>
      </c>
      <c r="AK185" s="20">
        <v>0</v>
      </c>
      <c r="AL185" s="108">
        <v>105.8</v>
      </c>
      <c r="AM185" s="20">
        <v>0</v>
      </c>
    </row>
    <row r="186" spans="1:39" s="2" customFormat="1" ht="24.75" customHeight="1" outlineLevel="2" x14ac:dyDescent="0.25">
      <c r="A186" s="165" t="s">
        <v>941</v>
      </c>
      <c r="B186" s="196" t="s">
        <v>942</v>
      </c>
      <c r="C186" s="196"/>
      <c r="D186" s="197"/>
      <c r="E186" s="20">
        <f>SUM(E187:E188)</f>
        <v>884.3</v>
      </c>
      <c r="F186" s="20">
        <f t="shared" ref="F186:AM186" si="209">SUM(F187:F188)</f>
        <v>0</v>
      </c>
      <c r="G186" s="20">
        <f t="shared" si="209"/>
        <v>0</v>
      </c>
      <c r="H186" s="20">
        <f t="shared" si="209"/>
        <v>884.3</v>
      </c>
      <c r="I186" s="20">
        <f t="shared" si="209"/>
        <v>0</v>
      </c>
      <c r="J186" s="20">
        <f t="shared" si="209"/>
        <v>0</v>
      </c>
      <c r="K186" s="20">
        <f t="shared" si="209"/>
        <v>0</v>
      </c>
      <c r="L186" s="20">
        <f t="shared" si="209"/>
        <v>0</v>
      </c>
      <c r="M186" s="20">
        <f t="shared" si="209"/>
        <v>0</v>
      </c>
      <c r="N186" s="20">
        <f t="shared" si="209"/>
        <v>0</v>
      </c>
      <c r="O186" s="20">
        <f t="shared" si="209"/>
        <v>0</v>
      </c>
      <c r="P186" s="20">
        <f t="shared" si="209"/>
        <v>0</v>
      </c>
      <c r="Q186" s="20">
        <f t="shared" si="209"/>
        <v>0</v>
      </c>
      <c r="R186" s="20">
        <f t="shared" si="209"/>
        <v>0</v>
      </c>
      <c r="S186" s="20">
        <f t="shared" si="209"/>
        <v>0</v>
      </c>
      <c r="T186" s="20">
        <f t="shared" si="209"/>
        <v>220</v>
      </c>
      <c r="U186" s="20">
        <f t="shared" si="209"/>
        <v>0</v>
      </c>
      <c r="V186" s="20">
        <f t="shared" si="209"/>
        <v>0</v>
      </c>
      <c r="W186" s="20">
        <f t="shared" si="209"/>
        <v>220</v>
      </c>
      <c r="X186" s="20">
        <f t="shared" si="209"/>
        <v>0</v>
      </c>
      <c r="Y186" s="20">
        <f t="shared" si="209"/>
        <v>664.3</v>
      </c>
      <c r="Z186" s="20">
        <f t="shared" si="209"/>
        <v>0</v>
      </c>
      <c r="AA186" s="20">
        <f t="shared" si="209"/>
        <v>0</v>
      </c>
      <c r="AB186" s="20">
        <f t="shared" si="209"/>
        <v>664.3</v>
      </c>
      <c r="AC186" s="20">
        <f t="shared" si="209"/>
        <v>0</v>
      </c>
      <c r="AD186" s="20">
        <f t="shared" si="209"/>
        <v>0</v>
      </c>
      <c r="AE186" s="20">
        <f t="shared" si="209"/>
        <v>0</v>
      </c>
      <c r="AF186" s="20">
        <f t="shared" si="209"/>
        <v>0</v>
      </c>
      <c r="AG186" s="20">
        <f t="shared" si="209"/>
        <v>0</v>
      </c>
      <c r="AH186" s="20">
        <f t="shared" si="209"/>
        <v>0</v>
      </c>
      <c r="AI186" s="20">
        <f t="shared" si="209"/>
        <v>0</v>
      </c>
      <c r="AJ186" s="20">
        <f t="shared" si="209"/>
        <v>0</v>
      </c>
      <c r="AK186" s="20">
        <f t="shared" si="209"/>
        <v>0</v>
      </c>
      <c r="AL186" s="20">
        <f t="shared" si="209"/>
        <v>0</v>
      </c>
      <c r="AM186" s="20">
        <f t="shared" si="209"/>
        <v>0</v>
      </c>
    </row>
    <row r="187" spans="1:39" s="2" customFormat="1" ht="63" outlineLevel="3" x14ac:dyDescent="0.25">
      <c r="A187" s="8" t="s">
        <v>944</v>
      </c>
      <c r="B187" s="17" t="s">
        <v>943</v>
      </c>
      <c r="C187" s="26" t="s">
        <v>32</v>
      </c>
      <c r="D187" s="26" t="s">
        <v>118</v>
      </c>
      <c r="E187" s="20">
        <f t="shared" ref="E187" si="210">SUM(F187:I187)</f>
        <v>220</v>
      </c>
      <c r="F187" s="20">
        <f>K187</f>
        <v>0</v>
      </c>
      <c r="G187" s="38">
        <f t="shared" ref="G187" si="211">L187+Q187+V187+AA187+AF187+AK187</f>
        <v>0</v>
      </c>
      <c r="H187" s="38">
        <f t="shared" ref="H187" si="212">M187+R187+W187+AB187+AG187+AL187</f>
        <v>220</v>
      </c>
      <c r="I187" s="38">
        <f t="shared" ref="I187" si="213">N187+S187+X187+AC187+AH187+AM187</f>
        <v>0</v>
      </c>
      <c r="J187" s="18">
        <f t="shared" ref="J187" si="214">SUM(K187:N187)</f>
        <v>0</v>
      </c>
      <c r="K187" s="19">
        <v>0</v>
      </c>
      <c r="L187" s="19">
        <v>0</v>
      </c>
      <c r="M187" s="46">
        <v>0</v>
      </c>
      <c r="N187" s="20">
        <v>0</v>
      </c>
      <c r="O187" s="18">
        <f t="shared" ref="O187" si="215">SUM(P187:S187)</f>
        <v>0</v>
      </c>
      <c r="P187" s="19">
        <v>0</v>
      </c>
      <c r="Q187" s="20">
        <v>0</v>
      </c>
      <c r="R187" s="46">
        <v>0</v>
      </c>
      <c r="S187" s="20">
        <v>0</v>
      </c>
      <c r="T187" s="18">
        <f t="shared" ref="T187" si="216">SUM(U187:X187)</f>
        <v>220</v>
      </c>
      <c r="U187" s="19">
        <v>0</v>
      </c>
      <c r="V187" s="20">
        <v>0</v>
      </c>
      <c r="W187" s="46">
        <v>220</v>
      </c>
      <c r="X187" s="20">
        <v>0</v>
      </c>
      <c r="Y187" s="18">
        <f t="shared" ref="Y187" si="217">SUM(Z187:AC187)</f>
        <v>0</v>
      </c>
      <c r="Z187" s="19">
        <v>0</v>
      </c>
      <c r="AA187" s="20">
        <v>0</v>
      </c>
      <c r="AB187" s="46">
        <v>0</v>
      </c>
      <c r="AC187" s="20">
        <v>0</v>
      </c>
      <c r="AD187" s="18">
        <f>SUM(AE187:AH187)</f>
        <v>0</v>
      </c>
      <c r="AE187" s="19">
        <v>0</v>
      </c>
      <c r="AF187" s="20">
        <v>0</v>
      </c>
      <c r="AG187" s="46">
        <v>0</v>
      </c>
      <c r="AH187" s="20">
        <v>0</v>
      </c>
      <c r="AI187" s="18">
        <f t="shared" ref="AI187" si="218">SUM(AJ187:AM187)</f>
        <v>0</v>
      </c>
      <c r="AJ187" s="19">
        <v>0</v>
      </c>
      <c r="AK187" s="20">
        <v>0</v>
      </c>
      <c r="AL187" s="46">
        <v>0</v>
      </c>
      <c r="AM187" s="20">
        <v>0</v>
      </c>
    </row>
    <row r="188" spans="1:39" s="2" customFormat="1" ht="86.25" customHeight="1" outlineLevel="3" x14ac:dyDescent="0.25">
      <c r="A188" s="8" t="s">
        <v>1044</v>
      </c>
      <c r="B188" s="9" t="s">
        <v>1045</v>
      </c>
      <c r="C188" s="26" t="s">
        <v>32</v>
      </c>
      <c r="D188" s="26" t="s">
        <v>118</v>
      </c>
      <c r="E188" s="20">
        <f t="shared" ref="E188" si="219">SUM(F188:I188)</f>
        <v>664.3</v>
      </c>
      <c r="F188" s="20">
        <f>K188</f>
        <v>0</v>
      </c>
      <c r="G188" s="38">
        <f t="shared" ref="G188" si="220">L188+Q188+V188+AA188+AF188+AK188</f>
        <v>0</v>
      </c>
      <c r="H188" s="38">
        <f t="shared" ref="H188" si="221">M188+R188+W188+AB188+AG188+AL188</f>
        <v>664.3</v>
      </c>
      <c r="I188" s="38">
        <f t="shared" ref="I188" si="222">N188+S188+X188+AC188+AH188+AM188</f>
        <v>0</v>
      </c>
      <c r="J188" s="18">
        <f t="shared" ref="J188" si="223">SUM(K188:N188)</f>
        <v>0</v>
      </c>
      <c r="K188" s="19">
        <v>0</v>
      </c>
      <c r="L188" s="19">
        <v>0</v>
      </c>
      <c r="M188" s="46">
        <v>0</v>
      </c>
      <c r="N188" s="20">
        <v>0</v>
      </c>
      <c r="O188" s="18">
        <f t="shared" ref="O188" si="224">SUM(P188:S188)</f>
        <v>0</v>
      </c>
      <c r="P188" s="19">
        <v>0</v>
      </c>
      <c r="Q188" s="20">
        <v>0</v>
      </c>
      <c r="R188" s="46">
        <v>0</v>
      </c>
      <c r="S188" s="20">
        <v>0</v>
      </c>
      <c r="T188" s="18">
        <f t="shared" ref="T188" si="225">SUM(U188:X188)</f>
        <v>0</v>
      </c>
      <c r="U188" s="19">
        <v>0</v>
      </c>
      <c r="V188" s="20">
        <v>0</v>
      </c>
      <c r="W188" s="46">
        <v>0</v>
      </c>
      <c r="X188" s="20">
        <v>0</v>
      </c>
      <c r="Y188" s="18">
        <f t="shared" ref="Y188" si="226">SUM(Z188:AC188)</f>
        <v>664.3</v>
      </c>
      <c r="Z188" s="19">
        <v>0</v>
      </c>
      <c r="AA188" s="20">
        <v>0</v>
      </c>
      <c r="AB188" s="46">
        <v>664.3</v>
      </c>
      <c r="AC188" s="20">
        <v>0</v>
      </c>
      <c r="AD188" s="18">
        <f>SUM(AE188:AH188)</f>
        <v>0</v>
      </c>
      <c r="AE188" s="19">
        <v>0</v>
      </c>
      <c r="AF188" s="20">
        <v>0</v>
      </c>
      <c r="AG188" s="46">
        <v>0</v>
      </c>
      <c r="AH188" s="20">
        <v>0</v>
      </c>
      <c r="AI188" s="18">
        <f t="shared" ref="AI188" si="227">SUM(AJ188:AM188)</f>
        <v>0</v>
      </c>
      <c r="AJ188" s="19">
        <v>0</v>
      </c>
      <c r="AK188" s="20">
        <v>0</v>
      </c>
      <c r="AL188" s="46">
        <v>0</v>
      </c>
      <c r="AM188" s="20">
        <v>0</v>
      </c>
    </row>
    <row r="189" spans="1:39" s="2" customFormat="1" ht="45.75" customHeight="1" outlineLevel="1" x14ac:dyDescent="0.25">
      <c r="A189" s="165" t="s">
        <v>85</v>
      </c>
      <c r="B189" s="198" t="s">
        <v>528</v>
      </c>
      <c r="C189" s="198"/>
      <c r="D189" s="199"/>
      <c r="E189" s="20">
        <f>SUM(E190:E199)</f>
        <v>24503.800000000003</v>
      </c>
      <c r="F189" s="20">
        <f t="shared" ref="F189:AM189" si="228">SUM(F190:F199)</f>
        <v>0</v>
      </c>
      <c r="G189" s="20">
        <f t="shared" si="228"/>
        <v>0</v>
      </c>
      <c r="H189" s="20">
        <f t="shared" si="228"/>
        <v>24503.800000000003</v>
      </c>
      <c r="I189" s="20">
        <f t="shared" si="228"/>
        <v>0</v>
      </c>
      <c r="J189" s="20">
        <f t="shared" si="228"/>
        <v>5427.3</v>
      </c>
      <c r="K189" s="20">
        <f t="shared" si="228"/>
        <v>0</v>
      </c>
      <c r="L189" s="20">
        <f t="shared" si="228"/>
        <v>0</v>
      </c>
      <c r="M189" s="20">
        <f t="shared" si="228"/>
        <v>5427.3</v>
      </c>
      <c r="N189" s="20">
        <f t="shared" si="228"/>
        <v>0</v>
      </c>
      <c r="O189" s="20">
        <f t="shared" si="228"/>
        <v>0</v>
      </c>
      <c r="P189" s="20">
        <f t="shared" si="228"/>
        <v>0</v>
      </c>
      <c r="Q189" s="20">
        <f t="shared" si="228"/>
        <v>0</v>
      </c>
      <c r="R189" s="20">
        <f t="shared" si="228"/>
        <v>0</v>
      </c>
      <c r="S189" s="20">
        <f t="shared" si="228"/>
        <v>0</v>
      </c>
      <c r="T189" s="20">
        <f t="shared" si="228"/>
        <v>8776.7999999999993</v>
      </c>
      <c r="U189" s="20">
        <f t="shared" si="228"/>
        <v>0</v>
      </c>
      <c r="V189" s="20">
        <f t="shared" si="228"/>
        <v>0</v>
      </c>
      <c r="W189" s="20">
        <f t="shared" si="228"/>
        <v>8776.7999999999993</v>
      </c>
      <c r="X189" s="20">
        <f t="shared" si="228"/>
        <v>0</v>
      </c>
      <c r="Y189" s="20">
        <f t="shared" si="228"/>
        <v>3729</v>
      </c>
      <c r="Z189" s="20">
        <f t="shared" si="228"/>
        <v>0</v>
      </c>
      <c r="AA189" s="20">
        <f t="shared" si="228"/>
        <v>0</v>
      </c>
      <c r="AB189" s="20">
        <f>SUM(AB190:AB199)</f>
        <v>3729</v>
      </c>
      <c r="AC189" s="20">
        <f t="shared" si="228"/>
        <v>0</v>
      </c>
      <c r="AD189" s="20">
        <f t="shared" si="228"/>
        <v>6570.7</v>
      </c>
      <c r="AE189" s="20">
        <f t="shared" si="228"/>
        <v>0</v>
      </c>
      <c r="AF189" s="20">
        <f t="shared" si="228"/>
        <v>0</v>
      </c>
      <c r="AG189" s="20">
        <f t="shared" si="228"/>
        <v>6570.7</v>
      </c>
      <c r="AH189" s="20">
        <f t="shared" si="228"/>
        <v>0</v>
      </c>
      <c r="AI189" s="20">
        <f t="shared" si="228"/>
        <v>0</v>
      </c>
      <c r="AJ189" s="20">
        <f t="shared" si="228"/>
        <v>0</v>
      </c>
      <c r="AK189" s="20">
        <f t="shared" si="228"/>
        <v>0</v>
      </c>
      <c r="AL189" s="20">
        <f t="shared" si="228"/>
        <v>0</v>
      </c>
      <c r="AM189" s="20">
        <f t="shared" si="228"/>
        <v>0</v>
      </c>
    </row>
    <row r="190" spans="1:39" s="2" customFormat="1" ht="78.75" outlineLevel="2" x14ac:dyDescent="0.25">
      <c r="A190" s="8" t="s">
        <v>86</v>
      </c>
      <c r="B190" s="29" t="s">
        <v>84</v>
      </c>
      <c r="C190" s="26" t="s">
        <v>376</v>
      </c>
      <c r="D190" s="26" t="s">
        <v>118</v>
      </c>
      <c r="E190" s="20">
        <f t="shared" ref="E190:E196" si="229">SUM(F190:I190)</f>
        <v>3744.5</v>
      </c>
      <c r="F190" s="38">
        <f>K190+P190+U190</f>
        <v>0</v>
      </c>
      <c r="G190" s="38">
        <f t="shared" si="207"/>
        <v>0</v>
      </c>
      <c r="H190" s="38">
        <f t="shared" si="207"/>
        <v>3744.5</v>
      </c>
      <c r="I190" s="38">
        <f t="shared" si="207"/>
        <v>0</v>
      </c>
      <c r="J190" s="18">
        <f t="shared" ref="J190:J196" si="230">SUM(K190:N190)</f>
        <v>3744.5</v>
      </c>
      <c r="K190" s="19">
        <v>0</v>
      </c>
      <c r="L190" s="19">
        <v>0</v>
      </c>
      <c r="M190" s="47">
        <f>3813.9-362.3+292.9</f>
        <v>3744.5</v>
      </c>
      <c r="N190" s="20">
        <v>0</v>
      </c>
      <c r="O190" s="18">
        <f t="shared" si="201"/>
        <v>0</v>
      </c>
      <c r="P190" s="19">
        <v>0</v>
      </c>
      <c r="Q190" s="20">
        <v>0</v>
      </c>
      <c r="R190" s="20">
        <v>0</v>
      </c>
      <c r="S190" s="20">
        <v>0</v>
      </c>
      <c r="T190" s="18">
        <f t="shared" si="208"/>
        <v>0</v>
      </c>
      <c r="U190" s="19">
        <v>0</v>
      </c>
      <c r="V190" s="20">
        <v>0</v>
      </c>
      <c r="W190" s="20">
        <v>0</v>
      </c>
      <c r="X190" s="20">
        <v>0</v>
      </c>
      <c r="Y190" s="18">
        <f t="shared" si="203"/>
        <v>0</v>
      </c>
      <c r="Z190" s="19">
        <v>0</v>
      </c>
      <c r="AA190" s="20">
        <v>0</v>
      </c>
      <c r="AB190" s="20">
        <v>0</v>
      </c>
      <c r="AC190" s="20">
        <v>0</v>
      </c>
      <c r="AD190" s="18">
        <f t="shared" si="206"/>
        <v>0</v>
      </c>
      <c r="AE190" s="19">
        <v>0</v>
      </c>
      <c r="AF190" s="20">
        <v>0</v>
      </c>
      <c r="AG190" s="20">
        <v>0</v>
      </c>
      <c r="AH190" s="20">
        <v>0</v>
      </c>
      <c r="AI190" s="18">
        <f t="shared" si="204"/>
        <v>0</v>
      </c>
      <c r="AJ190" s="19">
        <v>0</v>
      </c>
      <c r="AK190" s="20">
        <v>0</v>
      </c>
      <c r="AL190" s="20">
        <v>0</v>
      </c>
      <c r="AM190" s="20">
        <v>0</v>
      </c>
    </row>
    <row r="191" spans="1:39" s="2" customFormat="1" ht="63" outlineLevel="2" x14ac:dyDescent="0.25">
      <c r="A191" s="8" t="s">
        <v>355</v>
      </c>
      <c r="B191" s="28" t="s">
        <v>357</v>
      </c>
      <c r="C191" s="26" t="s">
        <v>31</v>
      </c>
      <c r="D191" s="26" t="s">
        <v>118</v>
      </c>
      <c r="E191" s="20">
        <f t="shared" si="229"/>
        <v>99.1</v>
      </c>
      <c r="F191" s="38">
        <f>K191+P191+U191</f>
        <v>0</v>
      </c>
      <c r="G191" s="38">
        <f t="shared" si="207"/>
        <v>0</v>
      </c>
      <c r="H191" s="38">
        <f t="shared" si="207"/>
        <v>99.1</v>
      </c>
      <c r="I191" s="38">
        <f t="shared" si="207"/>
        <v>0</v>
      </c>
      <c r="J191" s="18">
        <f t="shared" si="230"/>
        <v>99.1</v>
      </c>
      <c r="K191" s="19">
        <v>0</v>
      </c>
      <c r="L191" s="19">
        <v>0</v>
      </c>
      <c r="M191" s="47">
        <v>99.1</v>
      </c>
      <c r="N191" s="20">
        <v>0</v>
      </c>
      <c r="O191" s="18">
        <f t="shared" si="201"/>
        <v>0</v>
      </c>
      <c r="P191" s="19">
        <v>0</v>
      </c>
      <c r="Q191" s="20">
        <v>0</v>
      </c>
      <c r="R191" s="20">
        <v>0</v>
      </c>
      <c r="S191" s="20">
        <v>0</v>
      </c>
      <c r="T191" s="18">
        <f t="shared" si="208"/>
        <v>0</v>
      </c>
      <c r="U191" s="19">
        <v>0</v>
      </c>
      <c r="V191" s="20">
        <v>0</v>
      </c>
      <c r="W191" s="20">
        <v>0</v>
      </c>
      <c r="X191" s="20">
        <v>0</v>
      </c>
      <c r="Y191" s="18">
        <f t="shared" si="203"/>
        <v>0</v>
      </c>
      <c r="Z191" s="19">
        <v>0</v>
      </c>
      <c r="AA191" s="20">
        <v>0</v>
      </c>
      <c r="AB191" s="20">
        <v>0</v>
      </c>
      <c r="AC191" s="20">
        <v>0</v>
      </c>
      <c r="AD191" s="18">
        <f t="shared" si="206"/>
        <v>0</v>
      </c>
      <c r="AE191" s="19">
        <v>0</v>
      </c>
      <c r="AF191" s="20">
        <v>0</v>
      </c>
      <c r="AG191" s="20">
        <v>0</v>
      </c>
      <c r="AH191" s="20">
        <v>0</v>
      </c>
      <c r="AI191" s="18">
        <f t="shared" si="204"/>
        <v>0</v>
      </c>
      <c r="AJ191" s="19">
        <v>0</v>
      </c>
      <c r="AK191" s="20">
        <v>0</v>
      </c>
      <c r="AL191" s="20">
        <v>0</v>
      </c>
      <c r="AM191" s="20">
        <v>0</v>
      </c>
    </row>
    <row r="192" spans="1:39" s="2" customFormat="1" ht="78.75" outlineLevel="2" x14ac:dyDescent="0.25">
      <c r="A192" s="8" t="s">
        <v>356</v>
      </c>
      <c r="B192" s="6" t="s">
        <v>353</v>
      </c>
      <c r="C192" s="26" t="s">
        <v>376</v>
      </c>
      <c r="D192" s="26" t="s">
        <v>118</v>
      </c>
      <c r="E192" s="20">
        <f t="shared" si="229"/>
        <v>1583.7</v>
      </c>
      <c r="F192" s="20">
        <f t="shared" ref="F192:F197" si="231">K192</f>
        <v>0</v>
      </c>
      <c r="G192" s="38">
        <f t="shared" ref="G192:I196" si="232">L192+Q192+V192+AA192+AF192+AK192</f>
        <v>0</v>
      </c>
      <c r="H192" s="38">
        <f t="shared" si="232"/>
        <v>1583.7</v>
      </c>
      <c r="I192" s="38">
        <f t="shared" si="232"/>
        <v>0</v>
      </c>
      <c r="J192" s="18">
        <f t="shared" si="230"/>
        <v>1583.7</v>
      </c>
      <c r="K192" s="19">
        <v>0</v>
      </c>
      <c r="L192" s="19">
        <v>0</v>
      </c>
      <c r="M192" s="19">
        <v>1583.7</v>
      </c>
      <c r="N192" s="20">
        <v>0</v>
      </c>
      <c r="O192" s="18">
        <f t="shared" ref="O192:O197" si="233">SUM(P192:S192)</f>
        <v>0</v>
      </c>
      <c r="P192" s="19">
        <v>0</v>
      </c>
      <c r="Q192" s="20">
        <v>0</v>
      </c>
      <c r="R192" s="20">
        <v>0</v>
      </c>
      <c r="S192" s="20">
        <v>0</v>
      </c>
      <c r="T192" s="18">
        <f t="shared" ref="T192:T197" si="234">SUM(U192:X192)</f>
        <v>0</v>
      </c>
      <c r="U192" s="19">
        <v>0</v>
      </c>
      <c r="V192" s="20">
        <v>0</v>
      </c>
      <c r="W192" s="20">
        <v>0</v>
      </c>
      <c r="X192" s="20">
        <v>0</v>
      </c>
      <c r="Y192" s="18">
        <f t="shared" ref="Y192:Y197" si="235">SUM(Z192:AC192)</f>
        <v>0</v>
      </c>
      <c r="Z192" s="19">
        <v>0</v>
      </c>
      <c r="AA192" s="20">
        <v>0</v>
      </c>
      <c r="AB192" s="20">
        <v>0</v>
      </c>
      <c r="AC192" s="20">
        <v>0</v>
      </c>
      <c r="AD192" s="18">
        <f t="shared" ref="AD192:AD197" si="236">SUM(AE192:AH192)</f>
        <v>0</v>
      </c>
      <c r="AE192" s="19">
        <v>0</v>
      </c>
      <c r="AF192" s="20">
        <v>0</v>
      </c>
      <c r="AG192" s="20">
        <v>0</v>
      </c>
      <c r="AH192" s="20">
        <v>0</v>
      </c>
      <c r="AI192" s="18">
        <f t="shared" ref="AI192:AI197" si="237">SUM(AJ192:AM192)</f>
        <v>0</v>
      </c>
      <c r="AJ192" s="19">
        <v>0</v>
      </c>
      <c r="AK192" s="20">
        <v>0</v>
      </c>
      <c r="AL192" s="20">
        <v>0</v>
      </c>
      <c r="AM192" s="20">
        <v>0</v>
      </c>
    </row>
    <row r="193" spans="1:39" s="2" customFormat="1" ht="67.5" customHeight="1" outlineLevel="2" x14ac:dyDescent="0.25">
      <c r="A193" s="8" t="s">
        <v>529</v>
      </c>
      <c r="B193" s="6" t="s">
        <v>773</v>
      </c>
      <c r="C193" s="26" t="s">
        <v>32</v>
      </c>
      <c r="D193" s="26" t="s">
        <v>118</v>
      </c>
      <c r="E193" s="20">
        <f t="shared" si="229"/>
        <v>630.4</v>
      </c>
      <c r="F193" s="20">
        <f t="shared" si="231"/>
        <v>0</v>
      </c>
      <c r="G193" s="38">
        <f t="shared" si="232"/>
        <v>0</v>
      </c>
      <c r="H193" s="38">
        <f t="shared" si="232"/>
        <v>630.4</v>
      </c>
      <c r="I193" s="38">
        <f t="shared" si="232"/>
        <v>0</v>
      </c>
      <c r="J193" s="18">
        <f t="shared" si="230"/>
        <v>0</v>
      </c>
      <c r="K193" s="19">
        <v>0</v>
      </c>
      <c r="L193" s="19">
        <v>0</v>
      </c>
      <c r="M193" s="19">
        <v>0</v>
      </c>
      <c r="N193" s="20">
        <v>0</v>
      </c>
      <c r="O193" s="18">
        <f t="shared" si="233"/>
        <v>0</v>
      </c>
      <c r="P193" s="19">
        <v>0</v>
      </c>
      <c r="Q193" s="20">
        <v>0</v>
      </c>
      <c r="R193" s="38">
        <v>0</v>
      </c>
      <c r="S193" s="20">
        <v>0</v>
      </c>
      <c r="T193" s="18">
        <f t="shared" si="234"/>
        <v>630.4</v>
      </c>
      <c r="U193" s="19">
        <v>0</v>
      </c>
      <c r="V193" s="20">
        <v>0</v>
      </c>
      <c r="W193" s="38">
        <v>630.4</v>
      </c>
      <c r="X193" s="20">
        <v>0</v>
      </c>
      <c r="Y193" s="18">
        <f t="shared" si="235"/>
        <v>0</v>
      </c>
      <c r="Z193" s="19">
        <v>0</v>
      </c>
      <c r="AA193" s="20">
        <v>0</v>
      </c>
      <c r="AB193" s="20">
        <v>0</v>
      </c>
      <c r="AC193" s="20">
        <v>0</v>
      </c>
      <c r="AD193" s="18">
        <f t="shared" si="236"/>
        <v>0</v>
      </c>
      <c r="AE193" s="19">
        <v>0</v>
      </c>
      <c r="AF193" s="20">
        <v>0</v>
      </c>
      <c r="AG193" s="20">
        <v>0</v>
      </c>
      <c r="AH193" s="20">
        <v>0</v>
      </c>
      <c r="AI193" s="18">
        <f t="shared" si="237"/>
        <v>0</v>
      </c>
      <c r="AJ193" s="19">
        <v>0</v>
      </c>
      <c r="AK193" s="20">
        <v>0</v>
      </c>
      <c r="AL193" s="20">
        <v>0</v>
      </c>
      <c r="AM193" s="20">
        <v>0</v>
      </c>
    </row>
    <row r="194" spans="1:39" s="2" customFormat="1" ht="31.5" outlineLevel="2" x14ac:dyDescent="0.25">
      <c r="A194" s="8" t="s">
        <v>771</v>
      </c>
      <c r="B194" s="6" t="s">
        <v>774</v>
      </c>
      <c r="C194" s="26" t="s">
        <v>32</v>
      </c>
      <c r="D194" s="26" t="s">
        <v>118</v>
      </c>
      <c r="E194" s="20">
        <f t="shared" si="229"/>
        <v>2748</v>
      </c>
      <c r="F194" s="20">
        <f t="shared" si="231"/>
        <v>0</v>
      </c>
      <c r="G194" s="38">
        <f t="shared" si="232"/>
        <v>0</v>
      </c>
      <c r="H194" s="38">
        <f t="shared" si="232"/>
        <v>2748</v>
      </c>
      <c r="I194" s="38">
        <f t="shared" si="232"/>
        <v>0</v>
      </c>
      <c r="J194" s="18">
        <f t="shared" si="230"/>
        <v>0</v>
      </c>
      <c r="K194" s="19">
        <v>0</v>
      </c>
      <c r="L194" s="19">
        <v>0</v>
      </c>
      <c r="M194" s="19">
        <v>0</v>
      </c>
      <c r="N194" s="20">
        <v>0</v>
      </c>
      <c r="O194" s="18">
        <f t="shared" si="233"/>
        <v>0</v>
      </c>
      <c r="P194" s="19">
        <v>0</v>
      </c>
      <c r="Q194" s="20">
        <v>0</v>
      </c>
      <c r="R194" s="38">
        <v>0</v>
      </c>
      <c r="S194" s="20">
        <v>0</v>
      </c>
      <c r="T194" s="18">
        <f t="shared" si="234"/>
        <v>2748</v>
      </c>
      <c r="U194" s="19">
        <v>0</v>
      </c>
      <c r="V194" s="20">
        <v>0</v>
      </c>
      <c r="W194" s="38">
        <f>1569.4+1178.6</f>
        <v>2748</v>
      </c>
      <c r="X194" s="20">
        <v>0</v>
      </c>
      <c r="Y194" s="18">
        <f t="shared" si="235"/>
        <v>0</v>
      </c>
      <c r="Z194" s="19">
        <v>0</v>
      </c>
      <c r="AA194" s="20">
        <v>0</v>
      </c>
      <c r="AB194" s="20">
        <v>0</v>
      </c>
      <c r="AC194" s="20">
        <v>0</v>
      </c>
      <c r="AD194" s="18">
        <f t="shared" si="236"/>
        <v>0</v>
      </c>
      <c r="AE194" s="19">
        <v>0</v>
      </c>
      <c r="AF194" s="20">
        <v>0</v>
      </c>
      <c r="AG194" s="20">
        <v>0</v>
      </c>
      <c r="AH194" s="20">
        <v>0</v>
      </c>
      <c r="AI194" s="18">
        <f t="shared" si="237"/>
        <v>0</v>
      </c>
      <c r="AJ194" s="19">
        <v>0</v>
      </c>
      <c r="AK194" s="20">
        <v>0</v>
      </c>
      <c r="AL194" s="20">
        <v>0</v>
      </c>
      <c r="AM194" s="20">
        <v>0</v>
      </c>
    </row>
    <row r="195" spans="1:39" s="2" customFormat="1" ht="92.25" customHeight="1" outlineLevel="2" x14ac:dyDescent="0.25">
      <c r="A195" s="8" t="s">
        <v>772</v>
      </c>
      <c r="B195" s="6" t="s">
        <v>777</v>
      </c>
      <c r="C195" s="26" t="s">
        <v>32</v>
      </c>
      <c r="D195" s="26" t="s">
        <v>118</v>
      </c>
      <c r="E195" s="20">
        <f t="shared" si="229"/>
        <v>2982.1</v>
      </c>
      <c r="F195" s="20">
        <f t="shared" si="231"/>
        <v>0</v>
      </c>
      <c r="G195" s="38">
        <f t="shared" si="232"/>
        <v>0</v>
      </c>
      <c r="H195" s="38">
        <f t="shared" si="232"/>
        <v>2982.1</v>
      </c>
      <c r="I195" s="38">
        <f t="shared" si="232"/>
        <v>0</v>
      </c>
      <c r="J195" s="18">
        <f t="shared" si="230"/>
        <v>0</v>
      </c>
      <c r="K195" s="19">
        <v>0</v>
      </c>
      <c r="L195" s="19">
        <v>0</v>
      </c>
      <c r="M195" s="19">
        <v>0</v>
      </c>
      <c r="N195" s="20">
        <v>0</v>
      </c>
      <c r="O195" s="18">
        <f t="shared" si="233"/>
        <v>0</v>
      </c>
      <c r="P195" s="19">
        <v>0</v>
      </c>
      <c r="Q195" s="20">
        <v>0</v>
      </c>
      <c r="R195" s="38">
        <v>0</v>
      </c>
      <c r="S195" s="20">
        <v>0</v>
      </c>
      <c r="T195" s="18">
        <f t="shared" si="234"/>
        <v>2982.1</v>
      </c>
      <c r="U195" s="19">
        <v>0</v>
      </c>
      <c r="V195" s="20">
        <v>0</v>
      </c>
      <c r="W195" s="38">
        <v>2982.1</v>
      </c>
      <c r="X195" s="20">
        <v>0</v>
      </c>
      <c r="Y195" s="18">
        <f t="shared" si="235"/>
        <v>0</v>
      </c>
      <c r="Z195" s="19">
        <v>0</v>
      </c>
      <c r="AA195" s="20">
        <v>0</v>
      </c>
      <c r="AB195" s="20">
        <v>0</v>
      </c>
      <c r="AC195" s="20">
        <v>0</v>
      </c>
      <c r="AD195" s="18">
        <f t="shared" si="236"/>
        <v>0</v>
      </c>
      <c r="AE195" s="19">
        <v>0</v>
      </c>
      <c r="AF195" s="20">
        <v>0</v>
      </c>
      <c r="AG195" s="20">
        <v>0</v>
      </c>
      <c r="AH195" s="20">
        <v>0</v>
      </c>
      <c r="AI195" s="18">
        <f t="shared" si="237"/>
        <v>0</v>
      </c>
      <c r="AJ195" s="19">
        <v>0</v>
      </c>
      <c r="AK195" s="20">
        <v>0</v>
      </c>
      <c r="AL195" s="20">
        <v>0</v>
      </c>
      <c r="AM195" s="20">
        <v>0</v>
      </c>
    </row>
    <row r="196" spans="1:39" s="2" customFormat="1" ht="78.75" outlineLevel="2" x14ac:dyDescent="0.25">
      <c r="A196" s="8" t="s">
        <v>776</v>
      </c>
      <c r="B196" s="6" t="s">
        <v>778</v>
      </c>
      <c r="C196" s="26" t="s">
        <v>32</v>
      </c>
      <c r="D196" s="26" t="s">
        <v>118</v>
      </c>
      <c r="E196" s="20">
        <f t="shared" si="229"/>
        <v>2416.3000000000002</v>
      </c>
      <c r="F196" s="20">
        <f t="shared" si="231"/>
        <v>0</v>
      </c>
      <c r="G196" s="38">
        <f t="shared" si="232"/>
        <v>0</v>
      </c>
      <c r="H196" s="38">
        <f t="shared" si="232"/>
        <v>2416.3000000000002</v>
      </c>
      <c r="I196" s="38">
        <f t="shared" si="232"/>
        <v>0</v>
      </c>
      <c r="J196" s="18">
        <f t="shared" si="230"/>
        <v>0</v>
      </c>
      <c r="K196" s="19">
        <v>0</v>
      </c>
      <c r="L196" s="19">
        <v>0</v>
      </c>
      <c r="M196" s="19">
        <v>0</v>
      </c>
      <c r="N196" s="20">
        <v>0</v>
      </c>
      <c r="O196" s="18">
        <f t="shared" si="233"/>
        <v>0</v>
      </c>
      <c r="P196" s="19">
        <v>0</v>
      </c>
      <c r="Q196" s="20">
        <v>0</v>
      </c>
      <c r="R196" s="38">
        <v>0</v>
      </c>
      <c r="S196" s="20">
        <v>0</v>
      </c>
      <c r="T196" s="18">
        <f t="shared" si="234"/>
        <v>2416.3000000000002</v>
      </c>
      <c r="U196" s="19">
        <v>0</v>
      </c>
      <c r="V196" s="20">
        <v>0</v>
      </c>
      <c r="W196" s="38">
        <v>2416.3000000000002</v>
      </c>
      <c r="X196" s="20">
        <v>0</v>
      </c>
      <c r="Y196" s="18">
        <f t="shared" si="235"/>
        <v>0</v>
      </c>
      <c r="Z196" s="19">
        <v>0</v>
      </c>
      <c r="AA196" s="20">
        <v>0</v>
      </c>
      <c r="AB196" s="20">
        <v>0</v>
      </c>
      <c r="AC196" s="20">
        <v>0</v>
      </c>
      <c r="AD196" s="18">
        <f t="shared" si="236"/>
        <v>0</v>
      </c>
      <c r="AE196" s="19">
        <v>0</v>
      </c>
      <c r="AF196" s="20">
        <v>0</v>
      </c>
      <c r="AG196" s="20">
        <v>0</v>
      </c>
      <c r="AH196" s="20">
        <v>0</v>
      </c>
      <c r="AI196" s="18">
        <f t="shared" si="237"/>
        <v>0</v>
      </c>
      <c r="AJ196" s="19">
        <v>0</v>
      </c>
      <c r="AK196" s="20">
        <v>0</v>
      </c>
      <c r="AL196" s="20">
        <v>0</v>
      </c>
      <c r="AM196" s="20">
        <v>0</v>
      </c>
    </row>
    <row r="197" spans="1:39" s="2" customFormat="1" ht="47.25" outlineLevel="2" x14ac:dyDescent="0.25">
      <c r="A197" s="8" t="s">
        <v>1017</v>
      </c>
      <c r="B197" s="6" t="s">
        <v>1031</v>
      </c>
      <c r="C197" s="26" t="s">
        <v>32</v>
      </c>
      <c r="D197" s="26" t="s">
        <v>118</v>
      </c>
      <c r="E197" s="20">
        <f t="shared" ref="E197" si="238">SUM(F197:I197)</f>
        <v>6570.7</v>
      </c>
      <c r="F197" s="20">
        <f t="shared" si="231"/>
        <v>0</v>
      </c>
      <c r="G197" s="38">
        <f t="shared" ref="G197" si="239">L197+Q197+V197+AA197+AF197+AK197</f>
        <v>0</v>
      </c>
      <c r="H197" s="38">
        <f t="shared" ref="H197" si="240">M197+R197+W197+AB197+AG197+AL197</f>
        <v>6570.7</v>
      </c>
      <c r="I197" s="38">
        <f t="shared" ref="I197" si="241">N197+S197+X197+AC197+AH197+AM197</f>
        <v>0</v>
      </c>
      <c r="J197" s="18">
        <f t="shared" ref="J197" si="242">SUM(K197:N197)</f>
        <v>0</v>
      </c>
      <c r="K197" s="19">
        <v>0</v>
      </c>
      <c r="L197" s="19">
        <v>0</v>
      </c>
      <c r="M197" s="19">
        <v>0</v>
      </c>
      <c r="N197" s="20">
        <v>0</v>
      </c>
      <c r="O197" s="18">
        <f t="shared" si="233"/>
        <v>0</v>
      </c>
      <c r="P197" s="19">
        <v>0</v>
      </c>
      <c r="Q197" s="20">
        <v>0</v>
      </c>
      <c r="R197" s="38">
        <v>0</v>
      </c>
      <c r="S197" s="20">
        <v>0</v>
      </c>
      <c r="T197" s="18">
        <f t="shared" si="234"/>
        <v>0</v>
      </c>
      <c r="U197" s="19">
        <v>0</v>
      </c>
      <c r="V197" s="20">
        <v>0</v>
      </c>
      <c r="W197" s="38">
        <v>0</v>
      </c>
      <c r="X197" s="20">
        <v>0</v>
      </c>
      <c r="Y197" s="18">
        <f t="shared" si="235"/>
        <v>0</v>
      </c>
      <c r="Z197" s="19">
        <v>0</v>
      </c>
      <c r="AA197" s="20">
        <v>0</v>
      </c>
      <c r="AB197" s="38">
        <f>6839.9-269.2-6570.7</f>
        <v>0</v>
      </c>
      <c r="AC197" s="20">
        <v>0</v>
      </c>
      <c r="AD197" s="18">
        <f t="shared" si="236"/>
        <v>6570.7</v>
      </c>
      <c r="AE197" s="19">
        <v>0</v>
      </c>
      <c r="AF197" s="20">
        <v>0</v>
      </c>
      <c r="AG197" s="38">
        <v>6570.7</v>
      </c>
      <c r="AH197" s="20">
        <v>0</v>
      </c>
      <c r="AI197" s="18">
        <f t="shared" si="237"/>
        <v>0</v>
      </c>
      <c r="AJ197" s="19">
        <v>0</v>
      </c>
      <c r="AK197" s="20">
        <v>0</v>
      </c>
      <c r="AL197" s="20">
        <v>0</v>
      </c>
      <c r="AM197" s="20">
        <v>0</v>
      </c>
    </row>
    <row r="198" spans="1:39" s="2" customFormat="1" ht="110.25" outlineLevel="2" x14ac:dyDescent="0.25">
      <c r="A198" s="8" t="s">
        <v>1049</v>
      </c>
      <c r="B198" s="6" t="s">
        <v>1048</v>
      </c>
      <c r="C198" s="26" t="s">
        <v>32</v>
      </c>
      <c r="D198" s="26" t="s">
        <v>118</v>
      </c>
      <c r="E198" s="20">
        <f t="shared" ref="E198" si="243">SUM(F198:I198)</f>
        <v>1279</v>
      </c>
      <c r="F198" s="20">
        <f t="shared" ref="F198" si="244">K198</f>
        <v>0</v>
      </c>
      <c r="G198" s="38">
        <f t="shared" ref="G198" si="245">L198+Q198+V198+AA198+AF198+AK198</f>
        <v>0</v>
      </c>
      <c r="H198" s="38">
        <f t="shared" ref="H198" si="246">M198+R198+W198+AB198+AG198+AL198</f>
        <v>1279</v>
      </c>
      <c r="I198" s="38">
        <f t="shared" ref="I198" si="247">N198+S198+X198+AC198+AH198+AM198</f>
        <v>0</v>
      </c>
      <c r="J198" s="18">
        <f t="shared" ref="J198" si="248">SUM(K198:N198)</f>
        <v>0</v>
      </c>
      <c r="K198" s="19">
        <v>0</v>
      </c>
      <c r="L198" s="19">
        <v>0</v>
      </c>
      <c r="M198" s="19">
        <v>0</v>
      </c>
      <c r="N198" s="20">
        <v>0</v>
      </c>
      <c r="O198" s="18">
        <f t="shared" ref="O198" si="249">SUM(P198:S198)</f>
        <v>0</v>
      </c>
      <c r="P198" s="19">
        <v>0</v>
      </c>
      <c r="Q198" s="20">
        <v>0</v>
      </c>
      <c r="R198" s="38">
        <v>0</v>
      </c>
      <c r="S198" s="20">
        <v>0</v>
      </c>
      <c r="T198" s="18">
        <f t="shared" ref="T198" si="250">SUM(U198:X198)</f>
        <v>0</v>
      </c>
      <c r="U198" s="19">
        <v>0</v>
      </c>
      <c r="V198" s="20">
        <v>0</v>
      </c>
      <c r="W198" s="38">
        <v>0</v>
      </c>
      <c r="X198" s="20">
        <v>0</v>
      </c>
      <c r="Y198" s="18">
        <f t="shared" ref="Y198" si="251">SUM(Z198:AC198)</f>
        <v>1279</v>
      </c>
      <c r="Z198" s="19">
        <v>0</v>
      </c>
      <c r="AA198" s="20">
        <v>0</v>
      </c>
      <c r="AB198" s="38">
        <f>1639.7-360.7</f>
        <v>1279</v>
      </c>
      <c r="AC198" s="20">
        <v>0</v>
      </c>
      <c r="AD198" s="18">
        <f t="shared" ref="AD198" si="252">SUM(AE198:AH198)</f>
        <v>0</v>
      </c>
      <c r="AE198" s="19">
        <v>0</v>
      </c>
      <c r="AF198" s="20">
        <v>0</v>
      </c>
      <c r="AG198" s="20">
        <v>0</v>
      </c>
      <c r="AH198" s="20">
        <v>0</v>
      </c>
      <c r="AI198" s="18">
        <f t="shared" ref="AI198" si="253">SUM(AJ198:AM198)</f>
        <v>0</v>
      </c>
      <c r="AJ198" s="19">
        <v>0</v>
      </c>
      <c r="AK198" s="20">
        <v>0</v>
      </c>
      <c r="AL198" s="20">
        <v>0</v>
      </c>
      <c r="AM198" s="20">
        <v>0</v>
      </c>
    </row>
    <row r="199" spans="1:39" s="2" customFormat="1" ht="96.75" customHeight="1" outlineLevel="2" x14ac:dyDescent="0.25">
      <c r="A199" s="8" t="s">
        <v>1050</v>
      </c>
      <c r="B199" s="155" t="s">
        <v>1051</v>
      </c>
      <c r="C199" s="26" t="s">
        <v>32</v>
      </c>
      <c r="D199" s="26" t="s">
        <v>118</v>
      </c>
      <c r="E199" s="20">
        <f t="shared" ref="E199" si="254">SUM(F199:I199)</f>
        <v>2450</v>
      </c>
      <c r="F199" s="20">
        <f t="shared" ref="F199" si="255">K199</f>
        <v>0</v>
      </c>
      <c r="G199" s="38">
        <f t="shared" ref="G199" si="256">L199+Q199+V199+AA199+AF199+AK199</f>
        <v>0</v>
      </c>
      <c r="H199" s="38">
        <f t="shared" ref="H199" si="257">M199+R199+W199+AB199+AG199+AL199</f>
        <v>2450</v>
      </c>
      <c r="I199" s="38">
        <f t="shared" ref="I199" si="258">N199+S199+X199+AC199+AH199+AM199</f>
        <v>0</v>
      </c>
      <c r="J199" s="18">
        <f t="shared" ref="J199" si="259">SUM(K199:N199)</f>
        <v>0</v>
      </c>
      <c r="K199" s="19">
        <v>0</v>
      </c>
      <c r="L199" s="19">
        <v>0</v>
      </c>
      <c r="M199" s="19">
        <v>0</v>
      </c>
      <c r="N199" s="20">
        <v>0</v>
      </c>
      <c r="O199" s="18">
        <f t="shared" ref="O199" si="260">SUM(P199:S199)</f>
        <v>0</v>
      </c>
      <c r="P199" s="19">
        <v>0</v>
      </c>
      <c r="Q199" s="20">
        <v>0</v>
      </c>
      <c r="R199" s="38">
        <v>0</v>
      </c>
      <c r="S199" s="20">
        <v>0</v>
      </c>
      <c r="T199" s="18">
        <f t="shared" ref="T199" si="261">SUM(U199:X199)</f>
        <v>0</v>
      </c>
      <c r="U199" s="19">
        <v>0</v>
      </c>
      <c r="V199" s="20">
        <v>0</v>
      </c>
      <c r="W199" s="38">
        <v>0</v>
      </c>
      <c r="X199" s="20">
        <v>0</v>
      </c>
      <c r="Y199" s="18">
        <f t="shared" ref="Y199" si="262">SUM(Z199:AC199)</f>
        <v>2450</v>
      </c>
      <c r="Z199" s="19">
        <v>0</v>
      </c>
      <c r="AA199" s="20">
        <v>0</v>
      </c>
      <c r="AB199" s="38">
        <v>2450</v>
      </c>
      <c r="AC199" s="20">
        <v>0</v>
      </c>
      <c r="AD199" s="18">
        <f t="shared" ref="AD199" si="263">SUM(AE199:AH199)</f>
        <v>0</v>
      </c>
      <c r="AE199" s="19">
        <v>0</v>
      </c>
      <c r="AF199" s="20">
        <v>0</v>
      </c>
      <c r="AG199" s="20">
        <v>0</v>
      </c>
      <c r="AH199" s="20">
        <v>0</v>
      </c>
      <c r="AI199" s="18">
        <f t="shared" ref="AI199" si="264">SUM(AJ199:AM199)</f>
        <v>0</v>
      </c>
      <c r="AJ199" s="19">
        <v>0</v>
      </c>
      <c r="AK199" s="20">
        <v>0</v>
      </c>
      <c r="AL199" s="20">
        <v>0</v>
      </c>
      <c r="AM199" s="20">
        <v>0</v>
      </c>
    </row>
    <row r="200" spans="1:39" s="2" customFormat="1" ht="43.5" customHeight="1" outlineLevel="1" x14ac:dyDescent="0.25">
      <c r="A200" s="165" t="s">
        <v>291</v>
      </c>
      <c r="B200" s="214" t="s">
        <v>292</v>
      </c>
      <c r="C200" s="214"/>
      <c r="D200" s="215"/>
      <c r="E200" s="20">
        <f>SUM(E201:E204)</f>
        <v>150</v>
      </c>
      <c r="F200" s="20">
        <f t="shared" ref="F200:X200" si="265">SUM(F201:F204)</f>
        <v>0</v>
      </c>
      <c r="G200" s="20">
        <f t="shared" si="265"/>
        <v>0</v>
      </c>
      <c r="H200" s="20">
        <f t="shared" si="265"/>
        <v>150</v>
      </c>
      <c r="I200" s="20">
        <f t="shared" si="265"/>
        <v>0</v>
      </c>
      <c r="J200" s="20">
        <f t="shared" si="265"/>
        <v>150</v>
      </c>
      <c r="K200" s="20">
        <f t="shared" si="265"/>
        <v>0</v>
      </c>
      <c r="L200" s="20">
        <f t="shared" si="265"/>
        <v>0</v>
      </c>
      <c r="M200" s="20">
        <f t="shared" si="265"/>
        <v>150</v>
      </c>
      <c r="N200" s="20">
        <f t="shared" si="265"/>
        <v>0</v>
      </c>
      <c r="O200" s="20">
        <f t="shared" si="265"/>
        <v>0</v>
      </c>
      <c r="P200" s="20">
        <f t="shared" si="265"/>
        <v>0</v>
      </c>
      <c r="Q200" s="20">
        <f t="shared" si="265"/>
        <v>0</v>
      </c>
      <c r="R200" s="20">
        <f>SUM(R201:R204)</f>
        <v>0</v>
      </c>
      <c r="S200" s="20">
        <f t="shared" si="265"/>
        <v>0</v>
      </c>
      <c r="T200" s="20">
        <f t="shared" si="265"/>
        <v>0</v>
      </c>
      <c r="U200" s="20">
        <f t="shared" si="265"/>
        <v>0</v>
      </c>
      <c r="V200" s="20">
        <f t="shared" si="265"/>
        <v>0</v>
      </c>
      <c r="W200" s="20">
        <f t="shared" si="265"/>
        <v>0</v>
      </c>
      <c r="X200" s="20">
        <f t="shared" si="265"/>
        <v>0</v>
      </c>
      <c r="Y200" s="20">
        <f t="shared" ref="Y200:AM200" si="266">SUM(Y201:Y204)</f>
        <v>0</v>
      </c>
      <c r="Z200" s="20">
        <f t="shared" si="266"/>
        <v>0</v>
      </c>
      <c r="AA200" s="20">
        <f t="shared" si="266"/>
        <v>0</v>
      </c>
      <c r="AB200" s="20">
        <f t="shared" si="266"/>
        <v>0</v>
      </c>
      <c r="AC200" s="20">
        <f t="shared" si="266"/>
        <v>0</v>
      </c>
      <c r="AD200" s="20">
        <f t="shared" si="266"/>
        <v>0</v>
      </c>
      <c r="AE200" s="20">
        <f t="shared" si="266"/>
        <v>0</v>
      </c>
      <c r="AF200" s="20">
        <f t="shared" si="266"/>
        <v>0</v>
      </c>
      <c r="AG200" s="20">
        <f t="shared" si="266"/>
        <v>0</v>
      </c>
      <c r="AH200" s="20">
        <f t="shared" si="266"/>
        <v>0</v>
      </c>
      <c r="AI200" s="20">
        <f t="shared" si="266"/>
        <v>0</v>
      </c>
      <c r="AJ200" s="20">
        <f t="shared" si="266"/>
        <v>0</v>
      </c>
      <c r="AK200" s="20">
        <f t="shared" si="266"/>
        <v>0</v>
      </c>
      <c r="AL200" s="20">
        <f t="shared" si="266"/>
        <v>0</v>
      </c>
      <c r="AM200" s="20">
        <f t="shared" si="266"/>
        <v>0</v>
      </c>
    </row>
    <row r="201" spans="1:39" s="2" customFormat="1" ht="31.5" outlineLevel="2" x14ac:dyDescent="0.25">
      <c r="A201" s="8" t="s">
        <v>293</v>
      </c>
      <c r="B201" s="30" t="s">
        <v>62</v>
      </c>
      <c r="C201" s="26" t="s">
        <v>32</v>
      </c>
      <c r="D201" s="26" t="s">
        <v>118</v>
      </c>
      <c r="E201" s="20">
        <f>SUM(F201:I201)</f>
        <v>28.3</v>
      </c>
      <c r="F201" s="38">
        <f>K201+P201+U201</f>
        <v>0</v>
      </c>
      <c r="G201" s="38">
        <f t="shared" si="207"/>
        <v>0</v>
      </c>
      <c r="H201" s="38">
        <f t="shared" si="207"/>
        <v>28.3</v>
      </c>
      <c r="I201" s="38">
        <f t="shared" si="207"/>
        <v>0</v>
      </c>
      <c r="J201" s="18">
        <f>SUM(K201:N201)</f>
        <v>28.3</v>
      </c>
      <c r="K201" s="19">
        <v>0</v>
      </c>
      <c r="L201" s="19">
        <v>0</v>
      </c>
      <c r="M201" s="47">
        <v>28.3</v>
      </c>
      <c r="N201" s="19">
        <v>0</v>
      </c>
      <c r="O201" s="18">
        <f t="shared" si="201"/>
        <v>0</v>
      </c>
      <c r="P201" s="19">
        <v>0</v>
      </c>
      <c r="Q201" s="19">
        <v>0</v>
      </c>
      <c r="R201" s="19">
        <v>0</v>
      </c>
      <c r="S201" s="19">
        <v>0</v>
      </c>
      <c r="T201" s="18">
        <f t="shared" si="208"/>
        <v>0</v>
      </c>
      <c r="U201" s="19">
        <v>0</v>
      </c>
      <c r="V201" s="19">
        <v>0</v>
      </c>
      <c r="W201" s="19">
        <v>0</v>
      </c>
      <c r="X201" s="19">
        <v>0</v>
      </c>
      <c r="Y201" s="18">
        <f t="shared" si="203"/>
        <v>0</v>
      </c>
      <c r="Z201" s="19">
        <v>0</v>
      </c>
      <c r="AA201" s="19">
        <v>0</v>
      </c>
      <c r="AB201" s="19">
        <v>0</v>
      </c>
      <c r="AC201" s="19">
        <v>0</v>
      </c>
      <c r="AD201" s="18">
        <f t="shared" si="206"/>
        <v>0</v>
      </c>
      <c r="AE201" s="19">
        <v>0</v>
      </c>
      <c r="AF201" s="19">
        <v>0</v>
      </c>
      <c r="AG201" s="19">
        <v>0</v>
      </c>
      <c r="AH201" s="19">
        <v>0</v>
      </c>
      <c r="AI201" s="18">
        <f t="shared" si="204"/>
        <v>0</v>
      </c>
      <c r="AJ201" s="19">
        <v>0</v>
      </c>
      <c r="AK201" s="19">
        <v>0</v>
      </c>
      <c r="AL201" s="19">
        <v>0</v>
      </c>
      <c r="AM201" s="19">
        <v>0</v>
      </c>
    </row>
    <row r="202" spans="1:39" s="2" customFormat="1" ht="31.5" outlineLevel="2" x14ac:dyDescent="0.25">
      <c r="A202" s="8" t="s">
        <v>294</v>
      </c>
      <c r="B202" s="30" t="s">
        <v>60</v>
      </c>
      <c r="C202" s="26" t="s">
        <v>32</v>
      </c>
      <c r="D202" s="26" t="s">
        <v>118</v>
      </c>
      <c r="E202" s="20">
        <f>SUM(F202:I202)</f>
        <v>17</v>
      </c>
      <c r="F202" s="38">
        <f>K202+P202+U202</f>
        <v>0</v>
      </c>
      <c r="G202" s="38">
        <f t="shared" si="207"/>
        <v>0</v>
      </c>
      <c r="H202" s="38">
        <f t="shared" si="207"/>
        <v>17</v>
      </c>
      <c r="I202" s="38">
        <f t="shared" si="207"/>
        <v>0</v>
      </c>
      <c r="J202" s="18">
        <f>SUM(K202:N202)</f>
        <v>17</v>
      </c>
      <c r="K202" s="19">
        <v>0</v>
      </c>
      <c r="L202" s="19">
        <v>0</v>
      </c>
      <c r="M202" s="47">
        <v>17</v>
      </c>
      <c r="N202" s="19">
        <v>0</v>
      </c>
      <c r="O202" s="18">
        <f t="shared" si="201"/>
        <v>0</v>
      </c>
      <c r="P202" s="19">
        <v>0</v>
      </c>
      <c r="Q202" s="19">
        <v>0</v>
      </c>
      <c r="R202" s="19">
        <v>0</v>
      </c>
      <c r="S202" s="19">
        <v>0</v>
      </c>
      <c r="T202" s="18">
        <f t="shared" si="208"/>
        <v>0</v>
      </c>
      <c r="U202" s="19">
        <v>0</v>
      </c>
      <c r="V202" s="19">
        <v>0</v>
      </c>
      <c r="W202" s="19">
        <v>0</v>
      </c>
      <c r="X202" s="19">
        <v>0</v>
      </c>
      <c r="Y202" s="18">
        <f t="shared" si="203"/>
        <v>0</v>
      </c>
      <c r="Z202" s="19">
        <v>0</v>
      </c>
      <c r="AA202" s="19">
        <v>0</v>
      </c>
      <c r="AB202" s="19">
        <v>0</v>
      </c>
      <c r="AC202" s="19">
        <v>0</v>
      </c>
      <c r="AD202" s="18">
        <f t="shared" si="206"/>
        <v>0</v>
      </c>
      <c r="AE202" s="19">
        <v>0</v>
      </c>
      <c r="AF202" s="19">
        <v>0</v>
      </c>
      <c r="AG202" s="19">
        <v>0</v>
      </c>
      <c r="AH202" s="19">
        <v>0</v>
      </c>
      <c r="AI202" s="18">
        <f t="shared" si="204"/>
        <v>0</v>
      </c>
      <c r="AJ202" s="19">
        <v>0</v>
      </c>
      <c r="AK202" s="19">
        <v>0</v>
      </c>
      <c r="AL202" s="19">
        <v>0</v>
      </c>
      <c r="AM202" s="19">
        <v>0</v>
      </c>
    </row>
    <row r="203" spans="1:39" s="2" customFormat="1" ht="31.5" outlineLevel="2" x14ac:dyDescent="0.25">
      <c r="A203" s="8" t="s">
        <v>295</v>
      </c>
      <c r="B203" s="30" t="s">
        <v>54</v>
      </c>
      <c r="C203" s="26" t="s">
        <v>32</v>
      </c>
      <c r="D203" s="26" t="s">
        <v>118</v>
      </c>
      <c r="E203" s="20">
        <f>SUM(F203:I203)</f>
        <v>41.1</v>
      </c>
      <c r="F203" s="38">
        <f>K203+P203+U203</f>
        <v>0</v>
      </c>
      <c r="G203" s="38">
        <f t="shared" si="207"/>
        <v>0</v>
      </c>
      <c r="H203" s="38">
        <f t="shared" si="207"/>
        <v>41.1</v>
      </c>
      <c r="I203" s="38">
        <f t="shared" si="207"/>
        <v>0</v>
      </c>
      <c r="J203" s="18">
        <f>SUM(K203:N203)</f>
        <v>41.1</v>
      </c>
      <c r="K203" s="19">
        <v>0</v>
      </c>
      <c r="L203" s="19">
        <v>0</v>
      </c>
      <c r="M203" s="47">
        <v>41.1</v>
      </c>
      <c r="N203" s="19">
        <v>0</v>
      </c>
      <c r="O203" s="18">
        <f t="shared" si="201"/>
        <v>0</v>
      </c>
      <c r="P203" s="19">
        <v>0</v>
      </c>
      <c r="Q203" s="19">
        <v>0</v>
      </c>
      <c r="R203" s="19">
        <v>0</v>
      </c>
      <c r="S203" s="19">
        <v>0</v>
      </c>
      <c r="T203" s="18">
        <f t="shared" si="208"/>
        <v>0</v>
      </c>
      <c r="U203" s="19">
        <v>0</v>
      </c>
      <c r="V203" s="19">
        <v>0</v>
      </c>
      <c r="W203" s="19">
        <v>0</v>
      </c>
      <c r="X203" s="19">
        <v>0</v>
      </c>
      <c r="Y203" s="18">
        <f t="shared" si="203"/>
        <v>0</v>
      </c>
      <c r="Z203" s="19">
        <v>0</v>
      </c>
      <c r="AA203" s="19">
        <v>0</v>
      </c>
      <c r="AB203" s="19">
        <v>0</v>
      </c>
      <c r="AC203" s="19">
        <v>0</v>
      </c>
      <c r="AD203" s="18">
        <f t="shared" si="206"/>
        <v>0</v>
      </c>
      <c r="AE203" s="19">
        <v>0</v>
      </c>
      <c r="AF203" s="19">
        <v>0</v>
      </c>
      <c r="AG203" s="19">
        <v>0</v>
      </c>
      <c r="AH203" s="19">
        <v>0</v>
      </c>
      <c r="AI203" s="18">
        <f t="shared" si="204"/>
        <v>0</v>
      </c>
      <c r="AJ203" s="19">
        <v>0</v>
      </c>
      <c r="AK203" s="19">
        <v>0</v>
      </c>
      <c r="AL203" s="19">
        <v>0</v>
      </c>
      <c r="AM203" s="19">
        <v>0</v>
      </c>
    </row>
    <row r="204" spans="1:39" s="2" customFormat="1" ht="31.5" outlineLevel="2" x14ac:dyDescent="0.25">
      <c r="A204" s="8" t="s">
        <v>296</v>
      </c>
      <c r="B204" s="30" t="s">
        <v>53</v>
      </c>
      <c r="C204" s="26" t="s">
        <v>32</v>
      </c>
      <c r="D204" s="26" t="s">
        <v>118</v>
      </c>
      <c r="E204" s="20">
        <f>SUM(F204:I204)</f>
        <v>63.6</v>
      </c>
      <c r="F204" s="38">
        <f>K204+P204+U204</f>
        <v>0</v>
      </c>
      <c r="G204" s="38">
        <f t="shared" si="207"/>
        <v>0</v>
      </c>
      <c r="H204" s="38">
        <f t="shared" si="207"/>
        <v>63.6</v>
      </c>
      <c r="I204" s="38">
        <f t="shared" si="207"/>
        <v>0</v>
      </c>
      <c r="J204" s="18">
        <f>SUM(K204:N204)</f>
        <v>63.6</v>
      </c>
      <c r="K204" s="19">
        <v>0</v>
      </c>
      <c r="L204" s="19">
        <v>0</v>
      </c>
      <c r="M204" s="47">
        <v>63.6</v>
      </c>
      <c r="N204" s="19">
        <v>0</v>
      </c>
      <c r="O204" s="18">
        <f t="shared" si="201"/>
        <v>0</v>
      </c>
      <c r="P204" s="19">
        <v>0</v>
      </c>
      <c r="Q204" s="19">
        <v>0</v>
      </c>
      <c r="R204" s="19">
        <v>0</v>
      </c>
      <c r="S204" s="19">
        <v>0</v>
      </c>
      <c r="T204" s="18">
        <f t="shared" si="208"/>
        <v>0</v>
      </c>
      <c r="U204" s="19">
        <v>0</v>
      </c>
      <c r="V204" s="19">
        <v>0</v>
      </c>
      <c r="W204" s="19">
        <v>0</v>
      </c>
      <c r="X204" s="19">
        <v>0</v>
      </c>
      <c r="Y204" s="18">
        <f t="shared" si="203"/>
        <v>0</v>
      </c>
      <c r="Z204" s="19">
        <v>0</v>
      </c>
      <c r="AA204" s="19">
        <v>0</v>
      </c>
      <c r="AB204" s="19">
        <v>0</v>
      </c>
      <c r="AC204" s="19">
        <v>0</v>
      </c>
      <c r="AD204" s="18">
        <f t="shared" si="206"/>
        <v>0</v>
      </c>
      <c r="AE204" s="19">
        <v>0</v>
      </c>
      <c r="AF204" s="19">
        <v>0</v>
      </c>
      <c r="AG204" s="19">
        <v>0</v>
      </c>
      <c r="AH204" s="19">
        <v>0</v>
      </c>
      <c r="AI204" s="18">
        <f t="shared" si="204"/>
        <v>0</v>
      </c>
      <c r="AJ204" s="19">
        <v>0</v>
      </c>
      <c r="AK204" s="19">
        <v>0</v>
      </c>
      <c r="AL204" s="19">
        <v>0</v>
      </c>
      <c r="AM204" s="19">
        <v>0</v>
      </c>
    </row>
    <row r="205" spans="1:39" s="2" customFormat="1" ht="36.75" customHeight="1" outlineLevel="1" x14ac:dyDescent="0.25">
      <c r="A205" s="165" t="s">
        <v>318</v>
      </c>
      <c r="B205" s="214" t="s">
        <v>319</v>
      </c>
      <c r="C205" s="214"/>
      <c r="D205" s="215"/>
      <c r="E205" s="20">
        <f>SUM(E206:E207)</f>
        <v>69480.2</v>
      </c>
      <c r="F205" s="20">
        <f t="shared" ref="F205:AM205" si="267">SUM(F206:F207)</f>
        <v>0</v>
      </c>
      <c r="G205" s="20">
        <f t="shared" si="267"/>
        <v>68785.3</v>
      </c>
      <c r="H205" s="20">
        <f t="shared" si="267"/>
        <v>694.9</v>
      </c>
      <c r="I205" s="20">
        <f t="shared" si="267"/>
        <v>0</v>
      </c>
      <c r="J205" s="20">
        <f t="shared" si="267"/>
        <v>6240.3</v>
      </c>
      <c r="K205" s="20">
        <f t="shared" si="267"/>
        <v>0</v>
      </c>
      <c r="L205" s="20">
        <f t="shared" si="267"/>
        <v>6177.8</v>
      </c>
      <c r="M205" s="20">
        <f t="shared" si="267"/>
        <v>62.5</v>
      </c>
      <c r="N205" s="20">
        <f t="shared" si="267"/>
        <v>0</v>
      </c>
      <c r="O205" s="20">
        <f t="shared" si="267"/>
        <v>0</v>
      </c>
      <c r="P205" s="20">
        <f t="shared" si="267"/>
        <v>0</v>
      </c>
      <c r="Q205" s="20">
        <f t="shared" si="267"/>
        <v>0</v>
      </c>
      <c r="R205" s="20">
        <f t="shared" si="267"/>
        <v>0</v>
      </c>
      <c r="S205" s="20">
        <f t="shared" si="267"/>
        <v>0</v>
      </c>
      <c r="T205" s="20">
        <f t="shared" si="267"/>
        <v>63239.9</v>
      </c>
      <c r="U205" s="20">
        <f t="shared" si="267"/>
        <v>0</v>
      </c>
      <c r="V205" s="20">
        <f t="shared" si="267"/>
        <v>62607.5</v>
      </c>
      <c r="W205" s="20">
        <f t="shared" si="267"/>
        <v>632.4</v>
      </c>
      <c r="X205" s="20">
        <f t="shared" si="267"/>
        <v>0</v>
      </c>
      <c r="Y205" s="20">
        <f t="shared" si="267"/>
        <v>0</v>
      </c>
      <c r="Z205" s="20">
        <f t="shared" si="267"/>
        <v>0</v>
      </c>
      <c r="AA205" s="20">
        <f t="shared" si="267"/>
        <v>0</v>
      </c>
      <c r="AB205" s="20">
        <f t="shared" si="267"/>
        <v>0</v>
      </c>
      <c r="AC205" s="20">
        <f t="shared" si="267"/>
        <v>0</v>
      </c>
      <c r="AD205" s="20">
        <f t="shared" si="267"/>
        <v>0</v>
      </c>
      <c r="AE205" s="20">
        <f t="shared" si="267"/>
        <v>0</v>
      </c>
      <c r="AF205" s="20">
        <f t="shared" si="267"/>
        <v>0</v>
      </c>
      <c r="AG205" s="20">
        <f t="shared" si="267"/>
        <v>0</v>
      </c>
      <c r="AH205" s="20">
        <f t="shared" si="267"/>
        <v>0</v>
      </c>
      <c r="AI205" s="20">
        <f t="shared" si="267"/>
        <v>0</v>
      </c>
      <c r="AJ205" s="20">
        <f t="shared" si="267"/>
        <v>0</v>
      </c>
      <c r="AK205" s="20">
        <f t="shared" si="267"/>
        <v>0</v>
      </c>
      <c r="AL205" s="20">
        <f t="shared" si="267"/>
        <v>0</v>
      </c>
      <c r="AM205" s="20">
        <f t="shared" si="267"/>
        <v>0</v>
      </c>
    </row>
    <row r="206" spans="1:39" s="2" customFormat="1" ht="78.75" outlineLevel="2" x14ac:dyDescent="0.25">
      <c r="A206" s="8" t="s">
        <v>320</v>
      </c>
      <c r="B206" s="30" t="s">
        <v>321</v>
      </c>
      <c r="C206" s="26" t="s">
        <v>376</v>
      </c>
      <c r="D206" s="26" t="s">
        <v>23</v>
      </c>
      <c r="E206" s="20">
        <f>SUM(F206:I206)</f>
        <v>6240.3</v>
      </c>
      <c r="F206" s="38">
        <f>K206+P206+U206</f>
        <v>0</v>
      </c>
      <c r="G206" s="38">
        <f t="shared" si="207"/>
        <v>6177.8</v>
      </c>
      <c r="H206" s="38">
        <f t="shared" si="207"/>
        <v>62.5</v>
      </c>
      <c r="I206" s="38">
        <f t="shared" si="207"/>
        <v>0</v>
      </c>
      <c r="J206" s="18">
        <f>SUM(K206:N206)</f>
        <v>6240.3</v>
      </c>
      <c r="K206" s="19">
        <v>0</v>
      </c>
      <c r="L206" s="19">
        <v>6177.8</v>
      </c>
      <c r="M206" s="47">
        <v>62.5</v>
      </c>
      <c r="N206" s="20">
        <v>0</v>
      </c>
      <c r="O206" s="18">
        <f t="shared" si="201"/>
        <v>0</v>
      </c>
      <c r="P206" s="19">
        <v>0</v>
      </c>
      <c r="Q206" s="19">
        <v>0</v>
      </c>
      <c r="R206" s="19">
        <v>0</v>
      </c>
      <c r="S206" s="19">
        <v>0</v>
      </c>
      <c r="T206" s="18">
        <f t="shared" si="208"/>
        <v>0</v>
      </c>
      <c r="U206" s="19">
        <v>0</v>
      </c>
      <c r="V206" s="19">
        <v>0</v>
      </c>
      <c r="W206" s="19">
        <v>0</v>
      </c>
      <c r="X206" s="19">
        <v>0</v>
      </c>
      <c r="Y206" s="18">
        <f t="shared" si="203"/>
        <v>0</v>
      </c>
      <c r="Z206" s="19">
        <v>0</v>
      </c>
      <c r="AA206" s="19">
        <v>0</v>
      </c>
      <c r="AB206" s="19">
        <v>0</v>
      </c>
      <c r="AC206" s="19">
        <v>0</v>
      </c>
      <c r="AD206" s="18">
        <f t="shared" si="206"/>
        <v>0</v>
      </c>
      <c r="AE206" s="19">
        <v>0</v>
      </c>
      <c r="AF206" s="19">
        <v>0</v>
      </c>
      <c r="AG206" s="19">
        <v>0</v>
      </c>
      <c r="AH206" s="19">
        <v>0</v>
      </c>
      <c r="AI206" s="18">
        <f t="shared" si="204"/>
        <v>0</v>
      </c>
      <c r="AJ206" s="19">
        <v>0</v>
      </c>
      <c r="AK206" s="19">
        <v>0</v>
      </c>
      <c r="AL206" s="19">
        <v>0</v>
      </c>
      <c r="AM206" s="19">
        <v>0</v>
      </c>
    </row>
    <row r="207" spans="1:39" s="2" customFormat="1" ht="47.25" outlineLevel="2" x14ac:dyDescent="0.25">
      <c r="A207" s="8" t="s">
        <v>784</v>
      </c>
      <c r="B207" s="30" t="s">
        <v>785</v>
      </c>
      <c r="C207" s="26" t="s">
        <v>32</v>
      </c>
      <c r="D207" s="26" t="s">
        <v>32</v>
      </c>
      <c r="E207" s="20">
        <f>SUM(F207:I207)</f>
        <v>63239.9</v>
      </c>
      <c r="F207" s="38">
        <f>K207+P207+U207</f>
        <v>0</v>
      </c>
      <c r="G207" s="38">
        <f>L207+Q207+V207+AA207+AF207+AK207</f>
        <v>62607.5</v>
      </c>
      <c r="H207" s="38">
        <f>M207+R207+W207+AB207+AG207+AL207</f>
        <v>632.4</v>
      </c>
      <c r="I207" s="38">
        <f>N207+S207+X207+AC207+AH207+AM207</f>
        <v>0</v>
      </c>
      <c r="J207" s="18">
        <f>SUM(K207:N207)</f>
        <v>0</v>
      </c>
      <c r="K207" s="19">
        <v>0</v>
      </c>
      <c r="L207" s="19">
        <v>0</v>
      </c>
      <c r="M207" s="47">
        <v>0</v>
      </c>
      <c r="N207" s="20">
        <v>0</v>
      </c>
      <c r="O207" s="18">
        <f>SUM(P207:S207)</f>
        <v>0</v>
      </c>
      <c r="P207" s="19">
        <v>0</v>
      </c>
      <c r="Q207" s="19">
        <v>0</v>
      </c>
      <c r="R207" s="19">
        <v>0</v>
      </c>
      <c r="S207" s="19">
        <v>0</v>
      </c>
      <c r="T207" s="18">
        <f>V207+W207</f>
        <v>63239.9</v>
      </c>
      <c r="U207" s="19"/>
      <c r="V207" s="19">
        <v>62607.5</v>
      </c>
      <c r="W207" s="19">
        <v>632.4</v>
      </c>
      <c r="X207" s="19">
        <v>0</v>
      </c>
      <c r="Y207" s="18">
        <f>SUM(Z207:AC207)</f>
        <v>0</v>
      </c>
      <c r="Z207" s="19">
        <v>0</v>
      </c>
      <c r="AA207" s="19">
        <v>0</v>
      </c>
      <c r="AB207" s="19">
        <v>0</v>
      </c>
      <c r="AC207" s="19">
        <v>0</v>
      </c>
      <c r="AD207" s="18">
        <f>SUM(AE207:AH207)</f>
        <v>0</v>
      </c>
      <c r="AE207" s="19">
        <v>0</v>
      </c>
      <c r="AF207" s="19">
        <v>0</v>
      </c>
      <c r="AG207" s="19">
        <v>0</v>
      </c>
      <c r="AH207" s="19">
        <v>0</v>
      </c>
      <c r="AI207" s="18">
        <f>SUM(AJ207:AM207)</f>
        <v>0</v>
      </c>
      <c r="AJ207" s="19">
        <v>0</v>
      </c>
      <c r="AK207" s="19">
        <v>0</v>
      </c>
      <c r="AL207" s="19">
        <v>0</v>
      </c>
      <c r="AM207" s="19">
        <v>0</v>
      </c>
    </row>
    <row r="208" spans="1:39" s="2" customFormat="1" ht="36.75" customHeight="1" outlineLevel="1" x14ac:dyDescent="0.25">
      <c r="A208" s="165" t="s">
        <v>750</v>
      </c>
      <c r="B208" s="214" t="s">
        <v>751</v>
      </c>
      <c r="C208" s="214"/>
      <c r="D208" s="215"/>
      <c r="E208" s="20">
        <f>SUM(E209)</f>
        <v>23097.4</v>
      </c>
      <c r="F208" s="20">
        <f t="shared" ref="F208:AM208" si="268">SUM(F209)</f>
        <v>0</v>
      </c>
      <c r="G208" s="20">
        <f t="shared" si="268"/>
        <v>0</v>
      </c>
      <c r="H208" s="20">
        <f t="shared" si="268"/>
        <v>23097.4</v>
      </c>
      <c r="I208" s="20">
        <f t="shared" si="268"/>
        <v>0</v>
      </c>
      <c r="J208" s="20">
        <f t="shared" si="268"/>
        <v>0</v>
      </c>
      <c r="K208" s="20">
        <f t="shared" si="268"/>
        <v>0</v>
      </c>
      <c r="L208" s="20">
        <f t="shared" si="268"/>
        <v>0</v>
      </c>
      <c r="M208" s="20">
        <f t="shared" si="268"/>
        <v>0</v>
      </c>
      <c r="N208" s="20">
        <f t="shared" si="268"/>
        <v>0</v>
      </c>
      <c r="O208" s="20">
        <f t="shared" si="268"/>
        <v>0</v>
      </c>
      <c r="P208" s="20">
        <f t="shared" si="268"/>
        <v>0</v>
      </c>
      <c r="Q208" s="20">
        <f t="shared" si="268"/>
        <v>0</v>
      </c>
      <c r="R208" s="20">
        <f t="shared" si="268"/>
        <v>0</v>
      </c>
      <c r="S208" s="20">
        <f>SUM(S209)</f>
        <v>0</v>
      </c>
      <c r="T208" s="20">
        <f t="shared" si="268"/>
        <v>7879.8</v>
      </c>
      <c r="U208" s="20">
        <f t="shared" si="268"/>
        <v>0</v>
      </c>
      <c r="V208" s="20">
        <f t="shared" si="268"/>
        <v>0</v>
      </c>
      <c r="W208" s="20">
        <f t="shared" si="268"/>
        <v>7879.8</v>
      </c>
      <c r="X208" s="20">
        <f t="shared" si="268"/>
        <v>0</v>
      </c>
      <c r="Y208" s="20">
        <f t="shared" si="268"/>
        <v>5443.7999999999993</v>
      </c>
      <c r="Z208" s="20">
        <f t="shared" si="268"/>
        <v>0</v>
      </c>
      <c r="AA208" s="20">
        <f t="shared" si="268"/>
        <v>0</v>
      </c>
      <c r="AB208" s="20">
        <f t="shared" si="268"/>
        <v>5443.7999999999993</v>
      </c>
      <c r="AC208" s="20">
        <f t="shared" si="268"/>
        <v>0</v>
      </c>
      <c r="AD208" s="20">
        <f t="shared" si="268"/>
        <v>3998.3999999999996</v>
      </c>
      <c r="AE208" s="20">
        <f t="shared" si="268"/>
        <v>0</v>
      </c>
      <c r="AF208" s="20">
        <f t="shared" si="268"/>
        <v>0</v>
      </c>
      <c r="AG208" s="20">
        <f t="shared" si="268"/>
        <v>3998.3999999999996</v>
      </c>
      <c r="AH208" s="20">
        <f t="shared" si="268"/>
        <v>0</v>
      </c>
      <c r="AI208" s="20">
        <f t="shared" si="268"/>
        <v>5775.4000000000005</v>
      </c>
      <c r="AJ208" s="20">
        <f t="shared" si="268"/>
        <v>0</v>
      </c>
      <c r="AK208" s="20">
        <f t="shared" si="268"/>
        <v>0</v>
      </c>
      <c r="AL208" s="20">
        <f t="shared" si="268"/>
        <v>5775.4000000000005</v>
      </c>
      <c r="AM208" s="20">
        <f t="shared" si="268"/>
        <v>0</v>
      </c>
    </row>
    <row r="209" spans="1:39" s="2" customFormat="1" ht="94.5" outlineLevel="2" x14ac:dyDescent="0.25">
      <c r="A209" s="8" t="s">
        <v>752</v>
      </c>
      <c r="B209" s="30" t="s">
        <v>753</v>
      </c>
      <c r="C209" s="26" t="s">
        <v>754</v>
      </c>
      <c r="D209" s="26" t="s">
        <v>754</v>
      </c>
      <c r="E209" s="20">
        <f>SUM(F209:I209)</f>
        <v>23097.4</v>
      </c>
      <c r="F209" s="38">
        <f>K209+P209+U209</f>
        <v>0</v>
      </c>
      <c r="G209" s="38">
        <f>L209+Q209+V209+AA209+AF209+AK209</f>
        <v>0</v>
      </c>
      <c r="H209" s="38">
        <f>M209+R209+W209+AB209+AG209+AL209</f>
        <v>23097.4</v>
      </c>
      <c r="I209" s="38">
        <f>N209+S209+X209+AC209+AH209+AM209</f>
        <v>0</v>
      </c>
      <c r="J209" s="18">
        <f>SUM(K209:N209)</f>
        <v>0</v>
      </c>
      <c r="K209" s="19">
        <v>0</v>
      </c>
      <c r="L209" s="19">
        <v>0</v>
      </c>
      <c r="M209" s="47">
        <v>0</v>
      </c>
      <c r="N209" s="20">
        <v>0</v>
      </c>
      <c r="O209" s="18">
        <f>SUM(P209:S209)</f>
        <v>0</v>
      </c>
      <c r="P209" s="19">
        <v>0</v>
      </c>
      <c r="Q209" s="19">
        <v>0</v>
      </c>
      <c r="R209" s="19">
        <v>0</v>
      </c>
      <c r="S209" s="19">
        <v>0</v>
      </c>
      <c r="T209" s="18">
        <f>SUM(U209:X209)</f>
        <v>7879.8</v>
      </c>
      <c r="U209" s="19">
        <v>0</v>
      </c>
      <c r="V209" s="19">
        <v>0</v>
      </c>
      <c r="W209" s="19">
        <f>7879.8</f>
        <v>7879.8</v>
      </c>
      <c r="X209" s="19">
        <v>0</v>
      </c>
      <c r="Y209" s="18">
        <f>SUM(Z209:AC209)</f>
        <v>5443.7999999999993</v>
      </c>
      <c r="Z209" s="19">
        <v>0</v>
      </c>
      <c r="AA209" s="19">
        <v>0</v>
      </c>
      <c r="AB209" s="19">
        <f>9417-3398.1-575.1</f>
        <v>5443.7999999999993</v>
      </c>
      <c r="AC209" s="19">
        <v>0</v>
      </c>
      <c r="AD209" s="18">
        <f>SUM(AE209:AH209)</f>
        <v>3998.3999999999996</v>
      </c>
      <c r="AE209" s="19">
        <v>0</v>
      </c>
      <c r="AF209" s="19">
        <v>0</v>
      </c>
      <c r="AG209" s="19">
        <f>9793.8-5795.4</f>
        <v>3998.3999999999996</v>
      </c>
      <c r="AH209" s="19">
        <v>0</v>
      </c>
      <c r="AI209" s="18">
        <f>SUM(AJ209:AM209)</f>
        <v>5775.4000000000005</v>
      </c>
      <c r="AJ209" s="19">
        <v>0</v>
      </c>
      <c r="AK209" s="19">
        <v>0</v>
      </c>
      <c r="AL209" s="19">
        <f>10185.6-4410.2</f>
        <v>5775.4000000000005</v>
      </c>
      <c r="AM209" s="19">
        <v>0</v>
      </c>
    </row>
    <row r="210" spans="1:39" s="5" customFormat="1" ht="42.75" customHeight="1" x14ac:dyDescent="0.25">
      <c r="A210" s="165">
        <v>3</v>
      </c>
      <c r="B210" s="218" t="s">
        <v>3</v>
      </c>
      <c r="C210" s="219"/>
      <c r="D210" s="219"/>
      <c r="E210" s="18">
        <f t="shared" ref="E210:AM210" si="269">E211+E221+E244+E248</f>
        <v>249789.1</v>
      </c>
      <c r="F210" s="18">
        <f t="shared" si="269"/>
        <v>0</v>
      </c>
      <c r="G210" s="18">
        <f t="shared" si="269"/>
        <v>0</v>
      </c>
      <c r="H210" s="18">
        <f t="shared" si="269"/>
        <v>248216.10000000003</v>
      </c>
      <c r="I210" s="18">
        <f t="shared" si="269"/>
        <v>1573</v>
      </c>
      <c r="J210" s="18">
        <f t="shared" si="269"/>
        <v>44560.100000000006</v>
      </c>
      <c r="K210" s="18">
        <f t="shared" si="269"/>
        <v>0</v>
      </c>
      <c r="L210" s="18">
        <f t="shared" si="269"/>
        <v>0</v>
      </c>
      <c r="M210" s="18">
        <f t="shared" si="269"/>
        <v>44479.8</v>
      </c>
      <c r="N210" s="18">
        <f t="shared" si="269"/>
        <v>80.3</v>
      </c>
      <c r="O210" s="18">
        <f t="shared" si="269"/>
        <v>8837</v>
      </c>
      <c r="P210" s="18">
        <f t="shared" si="269"/>
        <v>0</v>
      </c>
      <c r="Q210" s="18">
        <f t="shared" si="269"/>
        <v>0</v>
      </c>
      <c r="R210" s="18">
        <f t="shared" si="269"/>
        <v>8791.7000000000007</v>
      </c>
      <c r="S210" s="18">
        <f t="shared" si="269"/>
        <v>45.3</v>
      </c>
      <c r="T210" s="18">
        <f t="shared" si="269"/>
        <v>114205.1</v>
      </c>
      <c r="U210" s="18">
        <f t="shared" si="269"/>
        <v>0</v>
      </c>
      <c r="V210" s="18">
        <f t="shared" si="269"/>
        <v>0</v>
      </c>
      <c r="W210" s="18">
        <f t="shared" si="269"/>
        <v>113313.1</v>
      </c>
      <c r="X210" s="18">
        <f t="shared" si="269"/>
        <v>892</v>
      </c>
      <c r="Y210" s="18">
        <f t="shared" si="269"/>
        <v>17882.3</v>
      </c>
      <c r="Z210" s="18">
        <f t="shared" si="269"/>
        <v>0</v>
      </c>
      <c r="AA210" s="18">
        <f t="shared" si="269"/>
        <v>0</v>
      </c>
      <c r="AB210" s="18">
        <f t="shared" si="269"/>
        <v>17726.900000000001</v>
      </c>
      <c r="AC210" s="18">
        <f t="shared" si="269"/>
        <v>155.39999999999998</v>
      </c>
      <c r="AD210" s="18">
        <f t="shared" si="269"/>
        <v>56606</v>
      </c>
      <c r="AE210" s="18">
        <f t="shared" si="269"/>
        <v>0</v>
      </c>
      <c r="AF210" s="18">
        <f t="shared" si="269"/>
        <v>0</v>
      </c>
      <c r="AG210" s="18">
        <f t="shared" si="269"/>
        <v>56283</v>
      </c>
      <c r="AH210" s="18">
        <f t="shared" si="269"/>
        <v>323</v>
      </c>
      <c r="AI210" s="18">
        <f t="shared" si="269"/>
        <v>7698.6</v>
      </c>
      <c r="AJ210" s="18">
        <f t="shared" si="269"/>
        <v>0</v>
      </c>
      <c r="AK210" s="18">
        <f t="shared" si="269"/>
        <v>0</v>
      </c>
      <c r="AL210" s="18">
        <f t="shared" si="269"/>
        <v>7621.6</v>
      </c>
      <c r="AM210" s="18">
        <f t="shared" si="269"/>
        <v>77</v>
      </c>
    </row>
    <row r="211" spans="1:39" s="5" customFormat="1" ht="36" customHeight="1" outlineLevel="1" x14ac:dyDescent="0.25">
      <c r="A211" s="165" t="s">
        <v>181</v>
      </c>
      <c r="B211" s="194" t="s">
        <v>712</v>
      </c>
      <c r="C211" s="195"/>
      <c r="D211" s="195"/>
      <c r="E211" s="18">
        <f>SUM(E212:E220)</f>
        <v>12331.099999999999</v>
      </c>
      <c r="F211" s="18">
        <f t="shared" ref="F211:AM211" si="270">SUM(F212:F220)</f>
        <v>0</v>
      </c>
      <c r="G211" s="18">
        <f t="shared" si="270"/>
        <v>0</v>
      </c>
      <c r="H211" s="18">
        <f t="shared" si="270"/>
        <v>12331.099999999999</v>
      </c>
      <c r="I211" s="18">
        <f t="shared" si="270"/>
        <v>0</v>
      </c>
      <c r="J211" s="18">
        <f t="shared" si="270"/>
        <v>2783.0999999999995</v>
      </c>
      <c r="K211" s="18">
        <f t="shared" si="270"/>
        <v>0</v>
      </c>
      <c r="L211" s="18">
        <f t="shared" si="270"/>
        <v>0</v>
      </c>
      <c r="M211" s="18">
        <f t="shared" si="270"/>
        <v>2783.0999999999995</v>
      </c>
      <c r="N211" s="18">
        <f t="shared" si="270"/>
        <v>0</v>
      </c>
      <c r="O211" s="18">
        <f t="shared" si="270"/>
        <v>4224.6000000000004</v>
      </c>
      <c r="P211" s="18">
        <f t="shared" si="270"/>
        <v>0</v>
      </c>
      <c r="Q211" s="18">
        <f t="shared" si="270"/>
        <v>0</v>
      </c>
      <c r="R211" s="18">
        <f t="shared" si="270"/>
        <v>4224.6000000000004</v>
      </c>
      <c r="S211" s="18">
        <f t="shared" si="270"/>
        <v>0</v>
      </c>
      <c r="T211" s="18">
        <f t="shared" si="270"/>
        <v>2223.5</v>
      </c>
      <c r="U211" s="18">
        <f t="shared" si="270"/>
        <v>0</v>
      </c>
      <c r="V211" s="18">
        <f t="shared" si="270"/>
        <v>0</v>
      </c>
      <c r="W211" s="18">
        <f t="shared" si="270"/>
        <v>2223.5</v>
      </c>
      <c r="X211" s="18">
        <f t="shared" si="270"/>
        <v>0</v>
      </c>
      <c r="Y211" s="18">
        <f t="shared" si="270"/>
        <v>2242.1999999999998</v>
      </c>
      <c r="Z211" s="18">
        <f t="shared" si="270"/>
        <v>0</v>
      </c>
      <c r="AA211" s="18">
        <f t="shared" si="270"/>
        <v>0</v>
      </c>
      <c r="AB211" s="18">
        <f t="shared" si="270"/>
        <v>2242.1999999999998</v>
      </c>
      <c r="AC211" s="18">
        <f t="shared" si="270"/>
        <v>0</v>
      </c>
      <c r="AD211" s="18">
        <f t="shared" si="270"/>
        <v>857.69999999999993</v>
      </c>
      <c r="AE211" s="18">
        <f t="shared" si="270"/>
        <v>0</v>
      </c>
      <c r="AF211" s="18">
        <f t="shared" si="270"/>
        <v>0</v>
      </c>
      <c r="AG211" s="18">
        <f t="shared" si="270"/>
        <v>857.69999999999993</v>
      </c>
      <c r="AH211" s="18">
        <f t="shared" si="270"/>
        <v>0</v>
      </c>
      <c r="AI211" s="18">
        <f t="shared" si="270"/>
        <v>0</v>
      </c>
      <c r="AJ211" s="18">
        <f t="shared" si="270"/>
        <v>0</v>
      </c>
      <c r="AK211" s="18">
        <f t="shared" si="270"/>
        <v>0</v>
      </c>
      <c r="AL211" s="18">
        <f t="shared" si="270"/>
        <v>0</v>
      </c>
      <c r="AM211" s="18">
        <f t="shared" si="270"/>
        <v>0</v>
      </c>
    </row>
    <row r="212" spans="1:39" s="2" customFormat="1" ht="173.25" outlineLevel="2" x14ac:dyDescent="0.25">
      <c r="A212" s="8" t="s">
        <v>179</v>
      </c>
      <c r="B212" s="32" t="s">
        <v>297</v>
      </c>
      <c r="C212" s="26" t="s">
        <v>32</v>
      </c>
      <c r="D212" s="26" t="s">
        <v>376</v>
      </c>
      <c r="E212" s="20">
        <f t="shared" ref="E212:E218" si="271">SUM(F212:I212)</f>
        <v>2783.0999999999995</v>
      </c>
      <c r="F212" s="38">
        <f t="shared" ref="F212:F218" si="272">K212+P212+U212</f>
        <v>0</v>
      </c>
      <c r="G212" s="38">
        <f t="shared" ref="G212:I217" si="273">L212+Q212+V212+AA212+AF212+AK212</f>
        <v>0</v>
      </c>
      <c r="H212" s="38">
        <f t="shared" si="273"/>
        <v>2783.0999999999995</v>
      </c>
      <c r="I212" s="38">
        <f t="shared" si="273"/>
        <v>0</v>
      </c>
      <c r="J212" s="18">
        <f>SUM(K212:N212)</f>
        <v>2783.0999999999995</v>
      </c>
      <c r="K212" s="19">
        <v>0</v>
      </c>
      <c r="L212" s="19">
        <v>0</v>
      </c>
      <c r="M212" s="19">
        <f>2840.7+636.2-693.8</f>
        <v>2783.0999999999995</v>
      </c>
      <c r="N212" s="19">
        <v>0</v>
      </c>
      <c r="O212" s="18">
        <f>SUM(P212:S212)</f>
        <v>0</v>
      </c>
      <c r="P212" s="19">
        <v>0</v>
      </c>
      <c r="Q212" s="19">
        <v>0</v>
      </c>
      <c r="R212" s="19">
        <v>0</v>
      </c>
      <c r="S212" s="19">
        <v>0</v>
      </c>
      <c r="T212" s="18">
        <f t="shared" ref="T212:T225" si="274">SUM(U212:X212)</f>
        <v>0</v>
      </c>
      <c r="U212" s="19">
        <v>0</v>
      </c>
      <c r="V212" s="19">
        <v>0</v>
      </c>
      <c r="W212" s="19">
        <v>0</v>
      </c>
      <c r="X212" s="19">
        <v>0</v>
      </c>
      <c r="Y212" s="18">
        <f t="shared" ref="Y212:Y218" si="275">SUM(Z212:AC212)</f>
        <v>0</v>
      </c>
      <c r="Z212" s="19">
        <v>0</v>
      </c>
      <c r="AA212" s="19">
        <v>0</v>
      </c>
      <c r="AB212" s="19">
        <v>0</v>
      </c>
      <c r="AC212" s="19">
        <v>0</v>
      </c>
      <c r="AD212" s="18">
        <f t="shared" ref="AD212:AD218" si="276">SUM(AE212:AH212)</f>
        <v>0</v>
      </c>
      <c r="AE212" s="19">
        <v>0</v>
      </c>
      <c r="AF212" s="19">
        <v>0</v>
      </c>
      <c r="AG212" s="19">
        <v>0</v>
      </c>
      <c r="AH212" s="19">
        <v>0</v>
      </c>
      <c r="AI212" s="18">
        <f t="shared" ref="AI212:AI218" si="277">SUM(AJ212:AM212)</f>
        <v>0</v>
      </c>
      <c r="AJ212" s="19">
        <v>0</v>
      </c>
      <c r="AK212" s="19">
        <v>0</v>
      </c>
      <c r="AL212" s="19">
        <v>0</v>
      </c>
      <c r="AM212" s="19">
        <v>0</v>
      </c>
    </row>
    <row r="213" spans="1:39" s="2" customFormat="1" ht="220.5" outlineLevel="2" x14ac:dyDescent="0.25">
      <c r="A213" s="8" t="s">
        <v>432</v>
      </c>
      <c r="B213" s="32" t="s">
        <v>687</v>
      </c>
      <c r="C213" s="26" t="s">
        <v>32</v>
      </c>
      <c r="D213" s="26" t="s">
        <v>32</v>
      </c>
      <c r="E213" s="20">
        <f t="shared" si="271"/>
        <v>3686.8</v>
      </c>
      <c r="F213" s="38">
        <f t="shared" si="272"/>
        <v>0</v>
      </c>
      <c r="G213" s="38">
        <f t="shared" si="273"/>
        <v>0</v>
      </c>
      <c r="H213" s="38">
        <f t="shared" si="273"/>
        <v>3686.8</v>
      </c>
      <c r="I213" s="38">
        <f t="shared" si="273"/>
        <v>0</v>
      </c>
      <c r="J213" s="18">
        <f>SUM(K213:N213)</f>
        <v>0</v>
      </c>
      <c r="K213" s="19">
        <v>0</v>
      </c>
      <c r="L213" s="19">
        <v>0</v>
      </c>
      <c r="M213" s="19">
        <v>0</v>
      </c>
      <c r="N213" s="19">
        <v>0</v>
      </c>
      <c r="O213" s="18">
        <f>SUM(P213:S213)</f>
        <v>3686.8</v>
      </c>
      <c r="P213" s="19">
        <v>0</v>
      </c>
      <c r="Q213" s="19">
        <v>0</v>
      </c>
      <c r="R213" s="19">
        <v>3686.8</v>
      </c>
      <c r="S213" s="19">
        <v>0</v>
      </c>
      <c r="T213" s="18">
        <f t="shared" si="274"/>
        <v>0</v>
      </c>
      <c r="U213" s="19">
        <v>0</v>
      </c>
      <c r="V213" s="19">
        <v>0</v>
      </c>
      <c r="W213" s="19">
        <v>0</v>
      </c>
      <c r="X213" s="19">
        <v>0</v>
      </c>
      <c r="Y213" s="18">
        <f t="shared" si="275"/>
        <v>0</v>
      </c>
      <c r="Z213" s="19">
        <v>0</v>
      </c>
      <c r="AA213" s="19">
        <v>0</v>
      </c>
      <c r="AB213" s="19">
        <v>0</v>
      </c>
      <c r="AC213" s="19">
        <v>0</v>
      </c>
      <c r="AD213" s="18">
        <f t="shared" si="276"/>
        <v>0</v>
      </c>
      <c r="AE213" s="19">
        <v>0</v>
      </c>
      <c r="AF213" s="19">
        <v>0</v>
      </c>
      <c r="AG213" s="19">
        <v>0</v>
      </c>
      <c r="AH213" s="19">
        <v>0</v>
      </c>
      <c r="AI213" s="18">
        <f t="shared" si="277"/>
        <v>0</v>
      </c>
      <c r="AJ213" s="19">
        <v>0</v>
      </c>
      <c r="AK213" s="19">
        <v>0</v>
      </c>
      <c r="AL213" s="19">
        <v>0</v>
      </c>
      <c r="AM213" s="19">
        <v>0</v>
      </c>
    </row>
    <row r="214" spans="1:39" s="2" customFormat="1" ht="217.5" customHeight="1" outlineLevel="2" x14ac:dyDescent="0.25">
      <c r="A214" s="8" t="s">
        <v>445</v>
      </c>
      <c r="B214" s="32" t="s">
        <v>686</v>
      </c>
      <c r="C214" s="26" t="s">
        <v>32</v>
      </c>
      <c r="D214" s="26" t="s">
        <v>32</v>
      </c>
      <c r="E214" s="20">
        <f t="shared" si="271"/>
        <v>537.79999999999995</v>
      </c>
      <c r="F214" s="38">
        <f t="shared" si="272"/>
        <v>0</v>
      </c>
      <c r="G214" s="38">
        <f t="shared" si="273"/>
        <v>0</v>
      </c>
      <c r="H214" s="38">
        <f t="shared" si="273"/>
        <v>537.79999999999995</v>
      </c>
      <c r="I214" s="38">
        <f t="shared" si="273"/>
        <v>0</v>
      </c>
      <c r="J214" s="18">
        <f t="shared" ref="J214:J225" si="278">SUM(K214:N214)</f>
        <v>0</v>
      </c>
      <c r="K214" s="19">
        <v>0</v>
      </c>
      <c r="L214" s="19">
        <v>0</v>
      </c>
      <c r="M214" s="19">
        <v>0</v>
      </c>
      <c r="N214" s="19">
        <v>0</v>
      </c>
      <c r="O214" s="18">
        <f t="shared" ref="O214:O225" si="279">SUM(P214:S214)</f>
        <v>537.79999999999995</v>
      </c>
      <c r="P214" s="19">
        <v>0</v>
      </c>
      <c r="Q214" s="19">
        <v>0</v>
      </c>
      <c r="R214" s="19">
        <v>537.79999999999995</v>
      </c>
      <c r="S214" s="19">
        <v>0</v>
      </c>
      <c r="T214" s="18">
        <f t="shared" si="274"/>
        <v>0</v>
      </c>
      <c r="U214" s="19">
        <v>0</v>
      </c>
      <c r="V214" s="19">
        <v>0</v>
      </c>
      <c r="W214" s="19">
        <v>0</v>
      </c>
      <c r="X214" s="19">
        <v>0</v>
      </c>
      <c r="Y214" s="18">
        <f t="shared" si="275"/>
        <v>0</v>
      </c>
      <c r="Z214" s="19">
        <v>0</v>
      </c>
      <c r="AA214" s="19">
        <v>0</v>
      </c>
      <c r="AB214" s="19">
        <v>0</v>
      </c>
      <c r="AC214" s="19">
        <v>0</v>
      </c>
      <c r="AD214" s="18">
        <f t="shared" si="276"/>
        <v>0</v>
      </c>
      <c r="AE214" s="19">
        <v>0</v>
      </c>
      <c r="AF214" s="19">
        <v>0</v>
      </c>
      <c r="AG214" s="19">
        <v>0</v>
      </c>
      <c r="AH214" s="19">
        <v>0</v>
      </c>
      <c r="AI214" s="18">
        <f t="shared" si="277"/>
        <v>0</v>
      </c>
      <c r="AJ214" s="19">
        <v>0</v>
      </c>
      <c r="AK214" s="19">
        <v>0</v>
      </c>
      <c r="AL214" s="19">
        <v>0</v>
      </c>
      <c r="AM214" s="19">
        <v>0</v>
      </c>
    </row>
    <row r="215" spans="1:39" s="2" customFormat="1" ht="217.5" customHeight="1" outlineLevel="2" x14ac:dyDescent="0.25">
      <c r="A215" s="8" t="s">
        <v>860</v>
      </c>
      <c r="B215" s="32" t="s">
        <v>862</v>
      </c>
      <c r="C215" s="26" t="s">
        <v>32</v>
      </c>
      <c r="D215" s="26" t="s">
        <v>32</v>
      </c>
      <c r="E215" s="20">
        <f t="shared" si="271"/>
        <v>1793.7</v>
      </c>
      <c r="F215" s="38">
        <f t="shared" si="272"/>
        <v>0</v>
      </c>
      <c r="G215" s="38">
        <f t="shared" si="273"/>
        <v>0</v>
      </c>
      <c r="H215" s="38">
        <f t="shared" si="273"/>
        <v>1793.7</v>
      </c>
      <c r="I215" s="38">
        <f t="shared" si="273"/>
        <v>0</v>
      </c>
      <c r="J215" s="18">
        <f t="shared" ref="J215:J220" si="280">SUM(K215:N215)</f>
        <v>0</v>
      </c>
      <c r="K215" s="19">
        <v>0</v>
      </c>
      <c r="L215" s="19">
        <v>0</v>
      </c>
      <c r="M215" s="19">
        <v>0</v>
      </c>
      <c r="N215" s="19">
        <v>0</v>
      </c>
      <c r="O215" s="18">
        <f t="shared" ref="O215:O220" si="281">SUM(P215:S215)</f>
        <v>0</v>
      </c>
      <c r="P215" s="19">
        <v>0</v>
      </c>
      <c r="Q215" s="19">
        <v>0</v>
      </c>
      <c r="R215" s="19">
        <v>0</v>
      </c>
      <c r="S215" s="19">
        <v>0</v>
      </c>
      <c r="T215" s="18">
        <f t="shared" ref="T215:T220" si="282">SUM(U215:X215)</f>
        <v>1793.7</v>
      </c>
      <c r="U215" s="19">
        <v>0</v>
      </c>
      <c r="V215" s="19">
        <v>0</v>
      </c>
      <c r="W215" s="19">
        <v>1793.7</v>
      </c>
      <c r="X215" s="19">
        <v>0</v>
      </c>
      <c r="Y215" s="18">
        <f t="shared" si="275"/>
        <v>0</v>
      </c>
      <c r="Z215" s="19">
        <v>0</v>
      </c>
      <c r="AA215" s="19">
        <v>0</v>
      </c>
      <c r="AB215" s="19">
        <v>0</v>
      </c>
      <c r="AC215" s="19">
        <v>0</v>
      </c>
      <c r="AD215" s="18">
        <f t="shared" si="276"/>
        <v>0</v>
      </c>
      <c r="AE215" s="19">
        <v>0</v>
      </c>
      <c r="AF215" s="19">
        <v>0</v>
      </c>
      <c r="AG215" s="19">
        <v>0</v>
      </c>
      <c r="AH215" s="19">
        <v>0</v>
      </c>
      <c r="AI215" s="18">
        <f t="shared" si="277"/>
        <v>0</v>
      </c>
      <c r="AJ215" s="19">
        <v>0</v>
      </c>
      <c r="AK215" s="19">
        <v>0</v>
      </c>
      <c r="AL215" s="19">
        <v>0</v>
      </c>
      <c r="AM215" s="19">
        <v>0</v>
      </c>
    </row>
    <row r="216" spans="1:39" s="2" customFormat="1" ht="193.5" customHeight="1" outlineLevel="2" x14ac:dyDescent="0.25">
      <c r="A216" s="8" t="s">
        <v>861</v>
      </c>
      <c r="B216" s="32" t="s">
        <v>863</v>
      </c>
      <c r="C216" s="26" t="s">
        <v>32</v>
      </c>
      <c r="D216" s="26" t="s">
        <v>32</v>
      </c>
      <c r="E216" s="20">
        <f t="shared" si="271"/>
        <v>429.8</v>
      </c>
      <c r="F216" s="38">
        <f t="shared" si="272"/>
        <v>0</v>
      </c>
      <c r="G216" s="38">
        <f t="shared" si="273"/>
        <v>0</v>
      </c>
      <c r="H216" s="38">
        <f t="shared" si="273"/>
        <v>429.8</v>
      </c>
      <c r="I216" s="38">
        <f t="shared" si="273"/>
        <v>0</v>
      </c>
      <c r="J216" s="18">
        <f t="shared" si="280"/>
        <v>0</v>
      </c>
      <c r="K216" s="19">
        <v>0</v>
      </c>
      <c r="L216" s="19">
        <v>0</v>
      </c>
      <c r="M216" s="19">
        <v>0</v>
      </c>
      <c r="N216" s="19">
        <v>0</v>
      </c>
      <c r="O216" s="18">
        <f t="shared" si="281"/>
        <v>0</v>
      </c>
      <c r="P216" s="19">
        <v>0</v>
      </c>
      <c r="Q216" s="19">
        <v>0</v>
      </c>
      <c r="R216" s="19">
        <v>0</v>
      </c>
      <c r="S216" s="19">
        <v>0</v>
      </c>
      <c r="T216" s="18">
        <f t="shared" si="282"/>
        <v>429.8</v>
      </c>
      <c r="U216" s="19">
        <v>0</v>
      </c>
      <c r="V216" s="19">
        <v>0</v>
      </c>
      <c r="W216" s="19">
        <v>429.8</v>
      </c>
      <c r="X216" s="19">
        <v>0</v>
      </c>
      <c r="Y216" s="18">
        <f t="shared" si="275"/>
        <v>0</v>
      </c>
      <c r="Z216" s="19">
        <v>0</v>
      </c>
      <c r="AA216" s="19">
        <v>0</v>
      </c>
      <c r="AB216" s="19">
        <v>0</v>
      </c>
      <c r="AC216" s="19">
        <v>0</v>
      </c>
      <c r="AD216" s="18">
        <f t="shared" si="276"/>
        <v>0</v>
      </c>
      <c r="AE216" s="19">
        <v>0</v>
      </c>
      <c r="AF216" s="19">
        <v>0</v>
      </c>
      <c r="AG216" s="19">
        <v>0</v>
      </c>
      <c r="AH216" s="19">
        <v>0</v>
      </c>
      <c r="AI216" s="18">
        <f t="shared" si="277"/>
        <v>0</v>
      </c>
      <c r="AJ216" s="19">
        <v>0</v>
      </c>
      <c r="AK216" s="19">
        <v>0</v>
      </c>
      <c r="AL216" s="19">
        <v>0</v>
      </c>
      <c r="AM216" s="19">
        <v>0</v>
      </c>
    </row>
    <row r="217" spans="1:39" s="2" customFormat="1" ht="193.5" customHeight="1" outlineLevel="2" x14ac:dyDescent="0.25">
      <c r="A217" s="8" t="s">
        <v>1024</v>
      </c>
      <c r="B217" s="32" t="s">
        <v>1026</v>
      </c>
      <c r="C217" s="26" t="s">
        <v>32</v>
      </c>
      <c r="D217" s="26" t="s">
        <v>32</v>
      </c>
      <c r="E217" s="20">
        <f t="shared" si="271"/>
        <v>1833.5</v>
      </c>
      <c r="F217" s="38">
        <f t="shared" si="272"/>
        <v>0</v>
      </c>
      <c r="G217" s="38">
        <f t="shared" si="273"/>
        <v>0</v>
      </c>
      <c r="H217" s="38">
        <f t="shared" si="273"/>
        <v>1833.5</v>
      </c>
      <c r="I217" s="38">
        <f t="shared" si="273"/>
        <v>0</v>
      </c>
      <c r="J217" s="18">
        <f t="shared" si="280"/>
        <v>0</v>
      </c>
      <c r="K217" s="19">
        <v>0</v>
      </c>
      <c r="L217" s="19">
        <v>0</v>
      </c>
      <c r="M217" s="19">
        <v>0</v>
      </c>
      <c r="N217" s="19">
        <v>0</v>
      </c>
      <c r="O217" s="18">
        <f t="shared" si="281"/>
        <v>0</v>
      </c>
      <c r="P217" s="19">
        <v>0</v>
      </c>
      <c r="Q217" s="19">
        <v>0</v>
      </c>
      <c r="R217" s="19">
        <v>0</v>
      </c>
      <c r="S217" s="19">
        <v>0</v>
      </c>
      <c r="T217" s="18">
        <f t="shared" si="282"/>
        <v>0</v>
      </c>
      <c r="U217" s="19">
        <v>0</v>
      </c>
      <c r="V217" s="19">
        <v>0</v>
      </c>
      <c r="W217" s="19"/>
      <c r="X217" s="19">
        <v>0</v>
      </c>
      <c r="Y217" s="18">
        <f t="shared" si="275"/>
        <v>1833.5</v>
      </c>
      <c r="Z217" s="19">
        <v>0</v>
      </c>
      <c r="AA217" s="19">
        <v>0</v>
      </c>
      <c r="AB217" s="19">
        <v>1833.5</v>
      </c>
      <c r="AC217" s="19">
        <v>0</v>
      </c>
      <c r="AD217" s="18">
        <f t="shared" si="276"/>
        <v>0</v>
      </c>
      <c r="AE217" s="19">
        <v>0</v>
      </c>
      <c r="AF217" s="19">
        <v>0</v>
      </c>
      <c r="AG217" s="19">
        <v>0</v>
      </c>
      <c r="AH217" s="19">
        <v>0</v>
      </c>
      <c r="AI217" s="18">
        <f t="shared" si="277"/>
        <v>0</v>
      </c>
      <c r="AJ217" s="19">
        <v>0</v>
      </c>
      <c r="AK217" s="19">
        <v>0</v>
      </c>
      <c r="AL217" s="19">
        <v>0</v>
      </c>
      <c r="AM217" s="19">
        <v>0</v>
      </c>
    </row>
    <row r="218" spans="1:39" s="2" customFormat="1" ht="193.5" customHeight="1" outlineLevel="2" x14ac:dyDescent="0.25">
      <c r="A218" s="8" t="s">
        <v>1025</v>
      </c>
      <c r="B218" s="32" t="s">
        <v>1027</v>
      </c>
      <c r="C218" s="26" t="s">
        <v>32</v>
      </c>
      <c r="D218" s="26" t="s">
        <v>32</v>
      </c>
      <c r="E218" s="20">
        <f t="shared" si="271"/>
        <v>408.7</v>
      </c>
      <c r="F218" s="38">
        <f t="shared" si="272"/>
        <v>0</v>
      </c>
      <c r="G218" s="38">
        <f t="shared" ref="G218" si="283">L218+Q218+V218+AA218+AF218+AK218</f>
        <v>0</v>
      </c>
      <c r="H218" s="38">
        <f t="shared" ref="H218" si="284">M218+R218+W218+AB218+AG218+AL218</f>
        <v>408.7</v>
      </c>
      <c r="I218" s="38">
        <f t="shared" ref="I218" si="285">N218+S218+X218+AC218+AH218+AM218</f>
        <v>0</v>
      </c>
      <c r="J218" s="18">
        <f t="shared" si="280"/>
        <v>0</v>
      </c>
      <c r="K218" s="19">
        <v>0</v>
      </c>
      <c r="L218" s="19">
        <v>0</v>
      </c>
      <c r="M218" s="19">
        <v>0</v>
      </c>
      <c r="N218" s="19">
        <v>0</v>
      </c>
      <c r="O218" s="18">
        <f t="shared" si="281"/>
        <v>0</v>
      </c>
      <c r="P218" s="19">
        <v>0</v>
      </c>
      <c r="Q218" s="19">
        <v>0</v>
      </c>
      <c r="R218" s="19">
        <v>0</v>
      </c>
      <c r="S218" s="19">
        <v>0</v>
      </c>
      <c r="T218" s="18">
        <f t="shared" si="282"/>
        <v>0</v>
      </c>
      <c r="U218" s="19">
        <v>0</v>
      </c>
      <c r="V218" s="19">
        <v>0</v>
      </c>
      <c r="W218" s="19"/>
      <c r="X218" s="19">
        <v>0</v>
      </c>
      <c r="Y218" s="18">
        <f t="shared" si="275"/>
        <v>408.7</v>
      </c>
      <c r="Z218" s="19">
        <v>0</v>
      </c>
      <c r="AA218" s="19">
        <v>0</v>
      </c>
      <c r="AB218" s="19">
        <v>408.7</v>
      </c>
      <c r="AC218" s="19">
        <v>0</v>
      </c>
      <c r="AD218" s="18">
        <f t="shared" si="276"/>
        <v>0</v>
      </c>
      <c r="AE218" s="19">
        <v>0</v>
      </c>
      <c r="AF218" s="19">
        <v>0</v>
      </c>
      <c r="AG218" s="19">
        <v>0</v>
      </c>
      <c r="AH218" s="19">
        <v>0</v>
      </c>
      <c r="AI218" s="18">
        <f t="shared" si="277"/>
        <v>0</v>
      </c>
      <c r="AJ218" s="19">
        <v>0</v>
      </c>
      <c r="AK218" s="19">
        <v>0</v>
      </c>
      <c r="AL218" s="19">
        <v>0</v>
      </c>
      <c r="AM218" s="19">
        <v>0</v>
      </c>
    </row>
    <row r="219" spans="1:39" s="2" customFormat="1" ht="128.25" customHeight="1" outlineLevel="2" x14ac:dyDescent="0.25">
      <c r="A219" s="8" t="s">
        <v>1127</v>
      </c>
      <c r="B219" s="32" t="s">
        <v>1126</v>
      </c>
      <c r="C219" s="26" t="s">
        <v>32</v>
      </c>
      <c r="D219" s="26" t="s">
        <v>32</v>
      </c>
      <c r="E219" s="20">
        <f t="shared" ref="E219" si="286">SUM(F219:I219)</f>
        <v>772.9</v>
      </c>
      <c r="F219" s="38">
        <f t="shared" ref="F219" si="287">K219+P219+U219</f>
        <v>0</v>
      </c>
      <c r="G219" s="38">
        <f t="shared" ref="G219" si="288">L219+Q219+V219+AA219+AF219+AK219</f>
        <v>0</v>
      </c>
      <c r="H219" s="38">
        <f t="shared" ref="H219" si="289">M219+R219+W219+AB219+AG219+AL219</f>
        <v>772.9</v>
      </c>
      <c r="I219" s="38">
        <f t="shared" ref="I219" si="290">N219+S219+X219+AC219+AH219+AM219</f>
        <v>0</v>
      </c>
      <c r="J219" s="18">
        <f t="shared" si="280"/>
        <v>0</v>
      </c>
      <c r="K219" s="19">
        <v>0</v>
      </c>
      <c r="L219" s="19">
        <v>0</v>
      </c>
      <c r="M219" s="19">
        <v>0</v>
      </c>
      <c r="N219" s="19">
        <v>0</v>
      </c>
      <c r="O219" s="18">
        <f t="shared" si="281"/>
        <v>0</v>
      </c>
      <c r="P219" s="19">
        <v>0</v>
      </c>
      <c r="Q219" s="19">
        <v>0</v>
      </c>
      <c r="R219" s="19">
        <v>0</v>
      </c>
      <c r="S219" s="19">
        <v>0</v>
      </c>
      <c r="T219" s="18">
        <f t="shared" si="282"/>
        <v>0</v>
      </c>
      <c r="U219" s="19">
        <v>0</v>
      </c>
      <c r="V219" s="19">
        <v>0</v>
      </c>
      <c r="W219" s="19"/>
      <c r="X219" s="19">
        <v>0</v>
      </c>
      <c r="Y219" s="18">
        <f t="shared" ref="Y219" si="291">SUM(Z219:AC219)</f>
        <v>0</v>
      </c>
      <c r="Z219" s="19">
        <v>0</v>
      </c>
      <c r="AA219" s="19">
        <v>0</v>
      </c>
      <c r="AB219" s="19">
        <v>0</v>
      </c>
      <c r="AC219" s="19">
        <v>0</v>
      </c>
      <c r="AD219" s="18">
        <f t="shared" ref="AD219" si="292">SUM(AE219:AH219)</f>
        <v>772.9</v>
      </c>
      <c r="AE219" s="19">
        <v>0</v>
      </c>
      <c r="AF219" s="19">
        <v>0</v>
      </c>
      <c r="AG219" s="19">
        <v>772.9</v>
      </c>
      <c r="AH219" s="19">
        <v>0</v>
      </c>
      <c r="AI219" s="18">
        <f t="shared" ref="AI219" si="293">SUM(AJ219:AM219)</f>
        <v>0</v>
      </c>
      <c r="AJ219" s="19">
        <v>0</v>
      </c>
      <c r="AK219" s="19">
        <v>0</v>
      </c>
      <c r="AL219" s="19">
        <v>0</v>
      </c>
      <c r="AM219" s="19">
        <v>0</v>
      </c>
    </row>
    <row r="220" spans="1:39" s="2" customFormat="1" ht="110.25" customHeight="1" outlineLevel="2" x14ac:dyDescent="0.25">
      <c r="A220" s="8" t="s">
        <v>1128</v>
      </c>
      <c r="B220" s="32" t="s">
        <v>1129</v>
      </c>
      <c r="C220" s="26" t="s">
        <v>32</v>
      </c>
      <c r="D220" s="26" t="s">
        <v>32</v>
      </c>
      <c r="E220" s="20">
        <f t="shared" ref="E220" si="294">SUM(F220:I220)</f>
        <v>84.8</v>
      </c>
      <c r="F220" s="38">
        <f t="shared" ref="F220" si="295">K220+P220+U220</f>
        <v>0</v>
      </c>
      <c r="G220" s="38">
        <f t="shared" ref="G220" si="296">L220+Q220+V220+AA220+AF220+AK220</f>
        <v>0</v>
      </c>
      <c r="H220" s="38">
        <f t="shared" ref="H220" si="297">M220+R220+W220+AB220+AG220+AL220</f>
        <v>84.8</v>
      </c>
      <c r="I220" s="38">
        <f t="shared" ref="I220" si="298">N220+S220+X220+AC220+AH220+AM220</f>
        <v>0</v>
      </c>
      <c r="J220" s="18">
        <f t="shared" si="280"/>
        <v>0</v>
      </c>
      <c r="K220" s="19">
        <v>0</v>
      </c>
      <c r="L220" s="19">
        <v>0</v>
      </c>
      <c r="M220" s="19">
        <v>0</v>
      </c>
      <c r="N220" s="19">
        <v>0</v>
      </c>
      <c r="O220" s="18">
        <f t="shared" si="281"/>
        <v>0</v>
      </c>
      <c r="P220" s="19">
        <v>0</v>
      </c>
      <c r="Q220" s="19">
        <v>0</v>
      </c>
      <c r="R220" s="19">
        <v>0</v>
      </c>
      <c r="S220" s="19">
        <v>0</v>
      </c>
      <c r="T220" s="18">
        <f t="shared" si="282"/>
        <v>0</v>
      </c>
      <c r="U220" s="19">
        <v>0</v>
      </c>
      <c r="V220" s="19">
        <v>0</v>
      </c>
      <c r="W220" s="19"/>
      <c r="X220" s="19">
        <v>0</v>
      </c>
      <c r="Y220" s="18">
        <f t="shared" ref="Y220" si="299">SUM(Z220:AC220)</f>
        <v>0</v>
      </c>
      <c r="Z220" s="19">
        <v>0</v>
      </c>
      <c r="AA220" s="19">
        <v>0</v>
      </c>
      <c r="AB220" s="19">
        <v>0</v>
      </c>
      <c r="AC220" s="19">
        <v>0</v>
      </c>
      <c r="AD220" s="18">
        <f t="shared" ref="AD220" si="300">SUM(AE220:AH220)</f>
        <v>84.8</v>
      </c>
      <c r="AE220" s="19">
        <v>0</v>
      </c>
      <c r="AF220" s="19">
        <v>0</v>
      </c>
      <c r="AG220" s="19">
        <v>84.8</v>
      </c>
      <c r="AH220" s="19">
        <v>0</v>
      </c>
      <c r="AI220" s="18">
        <f t="shared" ref="AI220" si="301">SUM(AJ220:AM220)</f>
        <v>0</v>
      </c>
      <c r="AJ220" s="19">
        <v>0</v>
      </c>
      <c r="AK220" s="19">
        <v>0</v>
      </c>
      <c r="AL220" s="19">
        <v>0</v>
      </c>
      <c r="AM220" s="19">
        <v>0</v>
      </c>
    </row>
    <row r="221" spans="1:39" s="5" customFormat="1" ht="36" customHeight="1" outlineLevel="1" x14ac:dyDescent="0.25">
      <c r="A221" s="165" t="s">
        <v>180</v>
      </c>
      <c r="B221" s="194" t="s">
        <v>38</v>
      </c>
      <c r="C221" s="195"/>
      <c r="D221" s="195"/>
      <c r="E221" s="18">
        <f>SUM(E222:E243)</f>
        <v>193482.3</v>
      </c>
      <c r="F221" s="18">
        <f t="shared" ref="F221:AM221" si="302">SUM(F222:F243)</f>
        <v>0</v>
      </c>
      <c r="G221" s="18">
        <f t="shared" si="302"/>
        <v>0</v>
      </c>
      <c r="H221" s="18">
        <f t="shared" si="302"/>
        <v>192349.10000000003</v>
      </c>
      <c r="I221" s="18">
        <f t="shared" si="302"/>
        <v>1133.1999999999998</v>
      </c>
      <c r="J221" s="18">
        <f t="shared" si="302"/>
        <v>36863.900000000009</v>
      </c>
      <c r="K221" s="18">
        <f t="shared" si="302"/>
        <v>0</v>
      </c>
      <c r="L221" s="18">
        <f t="shared" si="302"/>
        <v>0</v>
      </c>
      <c r="M221" s="18">
        <f t="shared" si="302"/>
        <v>36832.700000000004</v>
      </c>
      <c r="N221" s="18">
        <f t="shared" si="302"/>
        <v>31.2</v>
      </c>
      <c r="O221" s="18">
        <f t="shared" si="302"/>
        <v>87.7</v>
      </c>
      <c r="P221" s="18">
        <f t="shared" si="302"/>
        <v>0</v>
      </c>
      <c r="Q221" s="18">
        <f t="shared" si="302"/>
        <v>0</v>
      </c>
      <c r="R221" s="18">
        <f t="shared" si="302"/>
        <v>87.7</v>
      </c>
      <c r="S221" s="18">
        <f t="shared" si="302"/>
        <v>0</v>
      </c>
      <c r="T221" s="18">
        <f t="shared" si="302"/>
        <v>77443.700000000012</v>
      </c>
      <c r="U221" s="18">
        <f t="shared" si="302"/>
        <v>0</v>
      </c>
      <c r="V221" s="18">
        <f t="shared" si="302"/>
        <v>0</v>
      </c>
      <c r="W221" s="18">
        <f t="shared" si="302"/>
        <v>76897.100000000006</v>
      </c>
      <c r="X221" s="18">
        <f t="shared" si="302"/>
        <v>546.6</v>
      </c>
      <c r="Y221" s="18">
        <f t="shared" si="302"/>
        <v>15640.099999999999</v>
      </c>
      <c r="Z221" s="18">
        <f t="shared" si="302"/>
        <v>0</v>
      </c>
      <c r="AA221" s="18">
        <f t="shared" si="302"/>
        <v>0</v>
      </c>
      <c r="AB221" s="18">
        <f t="shared" si="302"/>
        <v>15484.7</v>
      </c>
      <c r="AC221" s="18">
        <f t="shared" si="302"/>
        <v>155.39999999999998</v>
      </c>
      <c r="AD221" s="18">
        <f t="shared" si="302"/>
        <v>55748.3</v>
      </c>
      <c r="AE221" s="18">
        <f t="shared" si="302"/>
        <v>0</v>
      </c>
      <c r="AF221" s="18">
        <f t="shared" si="302"/>
        <v>0</v>
      </c>
      <c r="AG221" s="18">
        <f t="shared" si="302"/>
        <v>55425.3</v>
      </c>
      <c r="AH221" s="18">
        <f t="shared" si="302"/>
        <v>323</v>
      </c>
      <c r="AI221" s="18">
        <f t="shared" si="302"/>
        <v>7698.6</v>
      </c>
      <c r="AJ221" s="18">
        <f t="shared" si="302"/>
        <v>0</v>
      </c>
      <c r="AK221" s="18">
        <f t="shared" si="302"/>
        <v>0</v>
      </c>
      <c r="AL221" s="18">
        <f t="shared" si="302"/>
        <v>7621.6</v>
      </c>
      <c r="AM221" s="18">
        <f t="shared" si="302"/>
        <v>77</v>
      </c>
    </row>
    <row r="222" spans="1:39" s="2" customFormat="1" ht="78.75" outlineLevel="2" x14ac:dyDescent="0.25">
      <c r="A222" s="8" t="s">
        <v>446</v>
      </c>
      <c r="B222" s="25" t="s">
        <v>72</v>
      </c>
      <c r="C222" s="26" t="s">
        <v>376</v>
      </c>
      <c r="D222" s="26" t="s">
        <v>8</v>
      </c>
      <c r="E222" s="20">
        <f t="shared" ref="E222:E226" si="303">SUM(F222:I222)</f>
        <v>75760</v>
      </c>
      <c r="F222" s="38">
        <f t="shared" ref="F222:F226" si="304">K222+P222+U222</f>
        <v>0</v>
      </c>
      <c r="G222" s="38">
        <f t="shared" ref="G222:I227" si="305">L222+Q222+V222+AA222+AF222+AK222</f>
        <v>0</v>
      </c>
      <c r="H222" s="38">
        <f t="shared" si="305"/>
        <v>75760</v>
      </c>
      <c r="I222" s="38">
        <f t="shared" si="305"/>
        <v>0</v>
      </c>
      <c r="J222" s="18">
        <f t="shared" si="278"/>
        <v>33748.800000000003</v>
      </c>
      <c r="K222" s="19">
        <v>0</v>
      </c>
      <c r="L222" s="38">
        <v>0</v>
      </c>
      <c r="M222" s="19">
        <f>20338.3+13100.7+309.8</f>
        <v>33748.800000000003</v>
      </c>
      <c r="N222" s="38">
        <v>0</v>
      </c>
      <c r="O222" s="18">
        <f t="shared" si="279"/>
        <v>0</v>
      </c>
      <c r="P222" s="19">
        <v>0</v>
      </c>
      <c r="Q222" s="38">
        <v>0</v>
      </c>
      <c r="R222" s="38">
        <f>21672.9-21672.9</f>
        <v>0</v>
      </c>
      <c r="S222" s="38">
        <v>0</v>
      </c>
      <c r="T222" s="18">
        <f t="shared" si="274"/>
        <v>21672.9</v>
      </c>
      <c r="U222" s="19">
        <v>0</v>
      </c>
      <c r="V222" s="38">
        <v>0</v>
      </c>
      <c r="W222" s="38">
        <v>21672.9</v>
      </c>
      <c r="X222" s="38">
        <v>0</v>
      </c>
      <c r="Y222" s="18">
        <f>SUM(Z222:AC222)</f>
        <v>0</v>
      </c>
      <c r="Z222" s="19">
        <v>0</v>
      </c>
      <c r="AA222" s="38">
        <v>0</v>
      </c>
      <c r="AB222" s="38">
        <f>20338.3-20338.3</f>
        <v>0</v>
      </c>
      <c r="AC222" s="38">
        <v>0</v>
      </c>
      <c r="AD222" s="38">
        <f t="shared" ref="AD222:AD228" si="306">SUM(AF222:AH222)</f>
        <v>20338.3</v>
      </c>
      <c r="AE222" s="19">
        <v>0</v>
      </c>
      <c r="AF222" s="38">
        <v>0</v>
      </c>
      <c r="AG222" s="38">
        <v>20338.3</v>
      </c>
      <c r="AH222" s="38">
        <v>0</v>
      </c>
      <c r="AI222" s="38">
        <f t="shared" ref="AI222:AI228" si="307">SUM(AK222:AM222)</f>
        <v>0</v>
      </c>
      <c r="AJ222" s="19">
        <v>0</v>
      </c>
      <c r="AK222" s="38">
        <v>0</v>
      </c>
      <c r="AL222" s="38">
        <v>0</v>
      </c>
      <c r="AM222" s="38">
        <v>0</v>
      </c>
    </row>
    <row r="223" spans="1:39" s="2" customFormat="1" ht="78.75" outlineLevel="2" x14ac:dyDescent="0.25">
      <c r="A223" s="8" t="s">
        <v>182</v>
      </c>
      <c r="B223" s="25" t="s">
        <v>298</v>
      </c>
      <c r="C223" s="26" t="s">
        <v>376</v>
      </c>
      <c r="D223" s="31" t="s">
        <v>41</v>
      </c>
      <c r="E223" s="20">
        <f t="shared" si="303"/>
        <v>1439.7999999999997</v>
      </c>
      <c r="F223" s="38">
        <f t="shared" si="304"/>
        <v>0</v>
      </c>
      <c r="G223" s="38">
        <f t="shared" si="305"/>
        <v>0</v>
      </c>
      <c r="H223" s="38">
        <f t="shared" si="305"/>
        <v>1425.3999999999996</v>
      </c>
      <c r="I223" s="38">
        <f t="shared" si="305"/>
        <v>14.400000000000002</v>
      </c>
      <c r="J223" s="18">
        <f t="shared" si="278"/>
        <v>1439.7999999999997</v>
      </c>
      <c r="K223" s="19">
        <v>0</v>
      </c>
      <c r="L223" s="38">
        <v>0</v>
      </c>
      <c r="M223" s="19">
        <f>4224.7-2799.3</f>
        <v>1425.3999999999996</v>
      </c>
      <c r="N223" s="38">
        <f>42.7-28.3</f>
        <v>14.400000000000002</v>
      </c>
      <c r="O223" s="18">
        <f t="shared" si="279"/>
        <v>0</v>
      </c>
      <c r="P223" s="19">
        <v>0</v>
      </c>
      <c r="Q223" s="38">
        <v>0</v>
      </c>
      <c r="R223" s="38">
        <v>0</v>
      </c>
      <c r="S223" s="38">
        <v>0</v>
      </c>
      <c r="T223" s="18">
        <f t="shared" si="274"/>
        <v>0</v>
      </c>
      <c r="U223" s="19">
        <v>0</v>
      </c>
      <c r="V223" s="38">
        <v>0</v>
      </c>
      <c r="W223" s="38">
        <v>0</v>
      </c>
      <c r="X223" s="38">
        <v>0</v>
      </c>
      <c r="Y223" s="18">
        <f>SUM(Z223:AC223)</f>
        <v>0</v>
      </c>
      <c r="Z223" s="19">
        <v>0</v>
      </c>
      <c r="AA223" s="38">
        <v>0</v>
      </c>
      <c r="AB223" s="38">
        <v>0</v>
      </c>
      <c r="AC223" s="38">
        <v>0</v>
      </c>
      <c r="AD223" s="38">
        <f t="shared" si="306"/>
        <v>0</v>
      </c>
      <c r="AE223" s="19">
        <v>0</v>
      </c>
      <c r="AF223" s="38">
        <v>0</v>
      </c>
      <c r="AG223" s="38">
        <v>0</v>
      </c>
      <c r="AH223" s="38">
        <v>0</v>
      </c>
      <c r="AI223" s="38">
        <f t="shared" si="307"/>
        <v>0</v>
      </c>
      <c r="AJ223" s="19">
        <v>0</v>
      </c>
      <c r="AK223" s="38">
        <v>0</v>
      </c>
      <c r="AL223" s="38">
        <v>0</v>
      </c>
      <c r="AM223" s="38">
        <v>0</v>
      </c>
    </row>
    <row r="224" spans="1:39" s="2" customFormat="1" ht="63" outlineLevel="2" x14ac:dyDescent="0.25">
      <c r="A224" s="8" t="s">
        <v>183</v>
      </c>
      <c r="B224" s="25" t="s">
        <v>378</v>
      </c>
      <c r="C224" s="26" t="s">
        <v>32</v>
      </c>
      <c r="D224" s="31" t="s">
        <v>41</v>
      </c>
      <c r="E224" s="20">
        <f t="shared" si="303"/>
        <v>1675.2999999999997</v>
      </c>
      <c r="F224" s="38">
        <f t="shared" si="304"/>
        <v>0</v>
      </c>
      <c r="G224" s="38">
        <f t="shared" si="305"/>
        <v>0</v>
      </c>
      <c r="H224" s="38">
        <f t="shared" si="305"/>
        <v>1658.4999999999998</v>
      </c>
      <c r="I224" s="38">
        <f t="shared" si="305"/>
        <v>16.799999999999997</v>
      </c>
      <c r="J224" s="18">
        <f t="shared" si="278"/>
        <v>1675.2999999999997</v>
      </c>
      <c r="K224" s="19">
        <v>0</v>
      </c>
      <c r="L224" s="38">
        <v>0</v>
      </c>
      <c r="M224" s="19">
        <f>1953.6-486.4+191.3</f>
        <v>1658.4999999999998</v>
      </c>
      <c r="N224" s="38">
        <f>19.7-4.9+2</f>
        <v>16.799999999999997</v>
      </c>
      <c r="O224" s="18">
        <f t="shared" si="279"/>
        <v>0</v>
      </c>
      <c r="P224" s="19">
        <v>0</v>
      </c>
      <c r="Q224" s="38">
        <v>0</v>
      </c>
      <c r="R224" s="38">
        <v>0</v>
      </c>
      <c r="S224" s="38">
        <v>0</v>
      </c>
      <c r="T224" s="18">
        <f t="shared" si="274"/>
        <v>0</v>
      </c>
      <c r="U224" s="19">
        <v>0</v>
      </c>
      <c r="V224" s="38">
        <v>0</v>
      </c>
      <c r="W224" s="38">
        <v>0</v>
      </c>
      <c r="X224" s="38">
        <v>0</v>
      </c>
      <c r="Y224" s="18">
        <f>SUM(Z224:AC224)</f>
        <v>0</v>
      </c>
      <c r="Z224" s="19">
        <v>0</v>
      </c>
      <c r="AA224" s="38">
        <v>0</v>
      </c>
      <c r="AB224" s="38">
        <v>0</v>
      </c>
      <c r="AC224" s="38">
        <v>0</v>
      </c>
      <c r="AD224" s="38">
        <f t="shared" si="306"/>
        <v>0</v>
      </c>
      <c r="AE224" s="19">
        <v>0</v>
      </c>
      <c r="AF224" s="38">
        <v>0</v>
      </c>
      <c r="AG224" s="38">
        <v>0</v>
      </c>
      <c r="AH224" s="38">
        <v>0</v>
      </c>
      <c r="AI224" s="38">
        <f t="shared" si="307"/>
        <v>0</v>
      </c>
      <c r="AJ224" s="19">
        <v>0</v>
      </c>
      <c r="AK224" s="38">
        <v>0</v>
      </c>
      <c r="AL224" s="38">
        <v>0</v>
      </c>
      <c r="AM224" s="38">
        <v>0</v>
      </c>
    </row>
    <row r="225" spans="1:39" s="2" customFormat="1" ht="78.75" outlineLevel="2" x14ac:dyDescent="0.25">
      <c r="A225" s="8" t="s">
        <v>377</v>
      </c>
      <c r="B225" s="48" t="s">
        <v>864</v>
      </c>
      <c r="C225" s="26" t="s">
        <v>32</v>
      </c>
      <c r="D225" s="31" t="s">
        <v>41</v>
      </c>
      <c r="E225" s="20">
        <f t="shared" si="303"/>
        <v>7698.6</v>
      </c>
      <c r="F225" s="38">
        <f t="shared" si="304"/>
        <v>0</v>
      </c>
      <c r="G225" s="38">
        <f t="shared" si="305"/>
        <v>0</v>
      </c>
      <c r="H225" s="38">
        <f t="shared" si="305"/>
        <v>7621.6</v>
      </c>
      <c r="I225" s="38">
        <f t="shared" si="305"/>
        <v>77</v>
      </c>
      <c r="J225" s="18">
        <f t="shared" si="278"/>
        <v>0</v>
      </c>
      <c r="K225" s="19">
        <v>0</v>
      </c>
      <c r="L225" s="38">
        <v>0</v>
      </c>
      <c r="M225" s="19">
        <v>0</v>
      </c>
      <c r="N225" s="38">
        <v>0</v>
      </c>
      <c r="O225" s="18">
        <f t="shared" si="279"/>
        <v>0</v>
      </c>
      <c r="P225" s="19">
        <v>0</v>
      </c>
      <c r="Q225" s="38">
        <v>0</v>
      </c>
      <c r="R225" s="38">
        <v>0</v>
      </c>
      <c r="S225" s="38">
        <v>0</v>
      </c>
      <c r="T225" s="18">
        <f t="shared" si="274"/>
        <v>7698.6</v>
      </c>
      <c r="U225" s="19">
        <v>0</v>
      </c>
      <c r="V225" s="38">
        <v>0</v>
      </c>
      <c r="W225" s="38">
        <v>7621.6</v>
      </c>
      <c r="X225" s="38">
        <v>77</v>
      </c>
      <c r="Y225" s="38">
        <f>AB225+AC225</f>
        <v>0</v>
      </c>
      <c r="Z225" s="19">
        <v>0</v>
      </c>
      <c r="AA225" s="38">
        <v>0</v>
      </c>
      <c r="AB225" s="38">
        <f>7621.6-7621.6</f>
        <v>0</v>
      </c>
      <c r="AC225" s="38">
        <f>77-77</f>
        <v>0</v>
      </c>
      <c r="AD225" s="38">
        <f t="shared" si="306"/>
        <v>0</v>
      </c>
      <c r="AE225" s="19">
        <v>0</v>
      </c>
      <c r="AF225" s="38">
        <v>0</v>
      </c>
      <c r="AG225" s="38">
        <v>0</v>
      </c>
      <c r="AH225" s="38">
        <v>0</v>
      </c>
      <c r="AI225" s="38">
        <f t="shared" si="307"/>
        <v>0</v>
      </c>
      <c r="AJ225" s="19">
        <v>0</v>
      </c>
      <c r="AK225" s="38">
        <v>0</v>
      </c>
      <c r="AL225" s="38">
        <v>0</v>
      </c>
      <c r="AM225" s="38">
        <v>0</v>
      </c>
    </row>
    <row r="226" spans="1:39" s="2" customFormat="1" ht="63" outlineLevel="2" x14ac:dyDescent="0.25">
      <c r="A226" s="8" t="s">
        <v>412</v>
      </c>
      <c r="B226" s="48" t="s">
        <v>795</v>
      </c>
      <c r="C226" s="26" t="s">
        <v>32</v>
      </c>
      <c r="D226" s="31" t="s">
        <v>118</v>
      </c>
      <c r="E226" s="20">
        <f t="shared" si="303"/>
        <v>87.7</v>
      </c>
      <c r="F226" s="38">
        <f t="shared" si="304"/>
        <v>0</v>
      </c>
      <c r="G226" s="38">
        <f t="shared" si="305"/>
        <v>0</v>
      </c>
      <c r="H226" s="38">
        <f t="shared" si="305"/>
        <v>87.7</v>
      </c>
      <c r="I226" s="38">
        <f t="shared" si="305"/>
        <v>0</v>
      </c>
      <c r="J226" s="18">
        <f>SUM(K226:N226)</f>
        <v>0</v>
      </c>
      <c r="K226" s="19">
        <v>0</v>
      </c>
      <c r="L226" s="38">
        <v>0</v>
      </c>
      <c r="M226" s="19">
        <v>0</v>
      </c>
      <c r="N226" s="38">
        <v>0</v>
      </c>
      <c r="O226" s="18">
        <f>SUM(P226:S226)</f>
        <v>87.7</v>
      </c>
      <c r="P226" s="19">
        <v>0</v>
      </c>
      <c r="Q226" s="38">
        <v>0</v>
      </c>
      <c r="R226" s="38">
        <v>87.7</v>
      </c>
      <c r="S226" s="38">
        <v>0</v>
      </c>
      <c r="T226" s="18">
        <f>SUM(U226:X226)</f>
        <v>0</v>
      </c>
      <c r="U226" s="19">
        <v>0</v>
      </c>
      <c r="V226" s="38">
        <v>0</v>
      </c>
      <c r="W226" s="38">
        <v>0</v>
      </c>
      <c r="X226" s="38">
        <v>0</v>
      </c>
      <c r="Y226" s="38">
        <f>AB226+AC226</f>
        <v>0</v>
      </c>
      <c r="Z226" s="19">
        <v>0</v>
      </c>
      <c r="AA226" s="38">
        <v>0</v>
      </c>
      <c r="AB226" s="38">
        <v>0</v>
      </c>
      <c r="AC226" s="38">
        <v>0</v>
      </c>
      <c r="AD226" s="38">
        <f t="shared" si="306"/>
        <v>0</v>
      </c>
      <c r="AE226" s="19">
        <v>0</v>
      </c>
      <c r="AF226" s="38">
        <v>0</v>
      </c>
      <c r="AG226" s="38">
        <v>0</v>
      </c>
      <c r="AH226" s="38">
        <v>0</v>
      </c>
      <c r="AI226" s="38">
        <f t="shared" si="307"/>
        <v>0</v>
      </c>
      <c r="AJ226" s="19">
        <v>0</v>
      </c>
      <c r="AK226" s="38">
        <v>0</v>
      </c>
      <c r="AL226" s="38">
        <v>0</v>
      </c>
      <c r="AM226" s="38">
        <v>0</v>
      </c>
    </row>
    <row r="227" spans="1:39" s="2" customFormat="1" ht="114.75" customHeight="1" outlineLevel="2" x14ac:dyDescent="0.25">
      <c r="A227" s="8" t="s">
        <v>413</v>
      </c>
      <c r="B227" s="119" t="s">
        <v>831</v>
      </c>
      <c r="C227" s="26" t="s">
        <v>32</v>
      </c>
      <c r="D227" s="31" t="s">
        <v>118</v>
      </c>
      <c r="E227" s="20">
        <f t="shared" ref="E227:E234" si="308">SUM(F227:I227)</f>
        <v>1501.6</v>
      </c>
      <c r="F227" s="38"/>
      <c r="G227" s="38">
        <f t="shared" si="305"/>
        <v>0</v>
      </c>
      <c r="H227" s="38">
        <f t="shared" si="305"/>
        <v>1501.6</v>
      </c>
      <c r="I227" s="38">
        <f t="shared" si="305"/>
        <v>0</v>
      </c>
      <c r="J227" s="18">
        <f>SUM(K227:N227)</f>
        <v>0</v>
      </c>
      <c r="K227" s="19"/>
      <c r="L227" s="38">
        <v>0</v>
      </c>
      <c r="M227" s="19">
        <v>0</v>
      </c>
      <c r="N227" s="38">
        <v>0</v>
      </c>
      <c r="O227" s="18">
        <f>SUM(P227:S227)</f>
        <v>0</v>
      </c>
      <c r="P227" s="19"/>
      <c r="Q227" s="38">
        <v>0</v>
      </c>
      <c r="R227" s="38">
        <v>0</v>
      </c>
      <c r="S227" s="38">
        <v>0</v>
      </c>
      <c r="T227" s="18">
        <f>W227</f>
        <v>1501.6</v>
      </c>
      <c r="U227" s="19"/>
      <c r="V227" s="38">
        <v>0</v>
      </c>
      <c r="W227" s="38">
        <v>1501.6</v>
      </c>
      <c r="X227" s="38">
        <v>0</v>
      </c>
      <c r="Y227" s="18">
        <f t="shared" ref="Y227:Y232" si="309">SUM(Z227:AC227)</f>
        <v>0</v>
      </c>
      <c r="Z227" s="19"/>
      <c r="AA227" s="38">
        <v>0</v>
      </c>
      <c r="AB227" s="38">
        <v>0</v>
      </c>
      <c r="AC227" s="38">
        <v>0</v>
      </c>
      <c r="AD227" s="38">
        <f t="shared" si="306"/>
        <v>0</v>
      </c>
      <c r="AE227" s="19"/>
      <c r="AF227" s="38">
        <v>0</v>
      </c>
      <c r="AG227" s="38">
        <v>0</v>
      </c>
      <c r="AH227" s="38">
        <v>0</v>
      </c>
      <c r="AI227" s="38">
        <f t="shared" si="307"/>
        <v>0</v>
      </c>
      <c r="AJ227" s="19"/>
      <c r="AK227" s="38">
        <v>0</v>
      </c>
      <c r="AL227" s="38">
        <v>0</v>
      </c>
      <c r="AM227" s="38">
        <v>0</v>
      </c>
    </row>
    <row r="228" spans="1:39" s="2" customFormat="1" ht="69" customHeight="1" outlineLevel="2" x14ac:dyDescent="0.25">
      <c r="A228" s="8" t="s">
        <v>769</v>
      </c>
      <c r="B228" s="48" t="s">
        <v>414</v>
      </c>
      <c r="C228" s="26" t="s">
        <v>32</v>
      </c>
      <c r="D228" s="31" t="s">
        <v>41</v>
      </c>
      <c r="E228" s="20">
        <f t="shared" si="308"/>
        <v>16749.7</v>
      </c>
      <c r="F228" s="38">
        <f t="shared" ref="F228:F234" si="310">K228+P228+U228</f>
        <v>0</v>
      </c>
      <c r="G228" s="38">
        <f t="shared" ref="G228:G234" si="311">L228+Q228+V228+AA228+AF228+AK228</f>
        <v>0</v>
      </c>
      <c r="H228" s="38">
        <f t="shared" ref="H228:H234" si="312">M228+R228+W228+AB228+AG228+AL228</f>
        <v>16582.2</v>
      </c>
      <c r="I228" s="38">
        <f t="shared" ref="I228:I234" si="313">N228+S228+X228+AC228+AH228+AM228</f>
        <v>167.5</v>
      </c>
      <c r="J228" s="18">
        <f t="shared" ref="J228:J234" si="314">SUM(K228:N228)</f>
        <v>0</v>
      </c>
      <c r="K228" s="19">
        <v>0</v>
      </c>
      <c r="L228" s="38">
        <v>0</v>
      </c>
      <c r="M228" s="19">
        <v>0</v>
      </c>
      <c r="N228" s="38">
        <v>0</v>
      </c>
      <c r="O228" s="18">
        <f>SUM(P228:S228)</f>
        <v>0</v>
      </c>
      <c r="P228" s="19">
        <v>0</v>
      </c>
      <c r="Q228" s="38">
        <v>0</v>
      </c>
      <c r="R228" s="38">
        <f>12078-12078</f>
        <v>0</v>
      </c>
      <c r="S228" s="38">
        <f>122-122</f>
        <v>0</v>
      </c>
      <c r="T228" s="18">
        <f>SUM(U228:X228)</f>
        <v>16749.7</v>
      </c>
      <c r="U228" s="19">
        <v>0</v>
      </c>
      <c r="V228" s="38">
        <v>0</v>
      </c>
      <c r="W228" s="38">
        <f>12078+5323-818.8</f>
        <v>16582.2</v>
      </c>
      <c r="X228" s="38">
        <f>53.8+122-8.3</f>
        <v>167.5</v>
      </c>
      <c r="Y228" s="18">
        <f t="shared" si="309"/>
        <v>0</v>
      </c>
      <c r="Z228" s="19">
        <v>0</v>
      </c>
      <c r="AA228" s="38">
        <v>0</v>
      </c>
      <c r="AB228" s="38">
        <v>0</v>
      </c>
      <c r="AC228" s="38">
        <v>0</v>
      </c>
      <c r="AD228" s="38">
        <f t="shared" si="306"/>
        <v>0</v>
      </c>
      <c r="AE228" s="19">
        <v>0</v>
      </c>
      <c r="AF228" s="38">
        <v>0</v>
      </c>
      <c r="AG228" s="38">
        <v>0</v>
      </c>
      <c r="AH228" s="38">
        <v>0</v>
      </c>
      <c r="AI228" s="38">
        <f t="shared" si="307"/>
        <v>0</v>
      </c>
      <c r="AJ228" s="19">
        <v>0</v>
      </c>
      <c r="AK228" s="38">
        <v>0</v>
      </c>
      <c r="AL228" s="38">
        <v>0</v>
      </c>
      <c r="AM228" s="38">
        <v>0</v>
      </c>
    </row>
    <row r="229" spans="1:39" s="2" customFormat="1" ht="78.75" outlineLevel="2" x14ac:dyDescent="0.25">
      <c r="A229" s="8" t="s">
        <v>781</v>
      </c>
      <c r="B229" s="113" t="s">
        <v>821</v>
      </c>
      <c r="C229" s="26" t="s">
        <v>32</v>
      </c>
      <c r="D229" s="31" t="s">
        <v>41</v>
      </c>
      <c r="E229" s="20">
        <f t="shared" si="308"/>
        <v>8469.2000000000007</v>
      </c>
      <c r="F229" s="38">
        <f t="shared" si="310"/>
        <v>0</v>
      </c>
      <c r="G229" s="38">
        <f t="shared" si="311"/>
        <v>0</v>
      </c>
      <c r="H229" s="38">
        <f t="shared" si="312"/>
        <v>8332.5</v>
      </c>
      <c r="I229" s="38">
        <f t="shared" si="313"/>
        <v>136.69999999999999</v>
      </c>
      <c r="J229" s="18">
        <f t="shared" si="314"/>
        <v>0</v>
      </c>
      <c r="K229" s="19">
        <v>0</v>
      </c>
      <c r="L229" s="38">
        <v>0</v>
      </c>
      <c r="M229" s="19">
        <v>0</v>
      </c>
      <c r="N229" s="38">
        <v>0</v>
      </c>
      <c r="O229" s="18">
        <f t="shared" ref="O229:O234" si="315">SUM(P229:S229)</f>
        <v>0</v>
      </c>
      <c r="P229" s="19">
        <v>0</v>
      </c>
      <c r="Q229" s="38">
        <v>0</v>
      </c>
      <c r="R229" s="38">
        <v>0</v>
      </c>
      <c r="S229" s="38">
        <v>0</v>
      </c>
      <c r="T229" s="18">
        <f t="shared" ref="T229:T234" si="316">W229+X229</f>
        <v>8469.2000000000007</v>
      </c>
      <c r="U229" s="19">
        <v>0</v>
      </c>
      <c r="V229" s="38">
        <v>0</v>
      </c>
      <c r="W229" s="38">
        <f>13332.5-5000</f>
        <v>8332.5</v>
      </c>
      <c r="X229" s="38">
        <v>136.69999999999999</v>
      </c>
      <c r="Y229" s="18">
        <f t="shared" si="309"/>
        <v>0</v>
      </c>
      <c r="Z229" s="19">
        <v>0</v>
      </c>
      <c r="AA229" s="38">
        <v>0</v>
      </c>
      <c r="AB229" s="38">
        <v>0</v>
      </c>
      <c r="AC229" s="38">
        <v>0</v>
      </c>
      <c r="AD229" s="20">
        <f t="shared" ref="AD229:AD232" si="317">AG229+AH229</f>
        <v>0</v>
      </c>
      <c r="AE229" s="19">
        <v>0</v>
      </c>
      <c r="AF229" s="38">
        <v>0</v>
      </c>
      <c r="AG229" s="38">
        <v>0</v>
      </c>
      <c r="AH229" s="38">
        <v>0</v>
      </c>
      <c r="AI229" s="38">
        <f t="shared" ref="AI229:AI234" si="318">SUM(AK229:AM229)</f>
        <v>0</v>
      </c>
      <c r="AJ229" s="19">
        <v>0</v>
      </c>
      <c r="AK229" s="38">
        <v>0</v>
      </c>
      <c r="AL229" s="38">
        <v>0</v>
      </c>
      <c r="AM229" s="38">
        <v>0</v>
      </c>
    </row>
    <row r="230" spans="1:39" s="2" customFormat="1" ht="78.75" outlineLevel="2" x14ac:dyDescent="0.25">
      <c r="A230" s="8" t="s">
        <v>832</v>
      </c>
      <c r="B230" s="114" t="s">
        <v>1036</v>
      </c>
      <c r="C230" s="26" t="s">
        <v>32</v>
      </c>
      <c r="D230" s="31" t="s">
        <v>41</v>
      </c>
      <c r="E230" s="20">
        <f t="shared" si="308"/>
        <v>7698.6</v>
      </c>
      <c r="F230" s="38">
        <f t="shared" si="310"/>
        <v>0</v>
      </c>
      <c r="G230" s="38">
        <f t="shared" si="311"/>
        <v>0</v>
      </c>
      <c r="H230" s="38">
        <f t="shared" si="312"/>
        <v>7621.6</v>
      </c>
      <c r="I230" s="38">
        <f t="shared" si="313"/>
        <v>77</v>
      </c>
      <c r="J230" s="18">
        <f t="shared" si="314"/>
        <v>0</v>
      </c>
      <c r="K230" s="19">
        <v>0</v>
      </c>
      <c r="L230" s="38">
        <v>0</v>
      </c>
      <c r="M230" s="19">
        <v>0</v>
      </c>
      <c r="N230" s="38">
        <v>0</v>
      </c>
      <c r="O230" s="18">
        <f t="shared" si="315"/>
        <v>0</v>
      </c>
      <c r="P230" s="19">
        <v>0</v>
      </c>
      <c r="Q230" s="38">
        <v>0</v>
      </c>
      <c r="R230" s="38">
        <v>0</v>
      </c>
      <c r="S230" s="38">
        <v>0</v>
      </c>
      <c r="T230" s="18">
        <f t="shared" si="316"/>
        <v>7698.6</v>
      </c>
      <c r="U230" s="19">
        <v>0</v>
      </c>
      <c r="V230" s="38">
        <v>0</v>
      </c>
      <c r="W230" s="38">
        <v>7621.6</v>
      </c>
      <c r="X230" s="38">
        <v>77</v>
      </c>
      <c r="Y230" s="18">
        <f t="shared" si="309"/>
        <v>0</v>
      </c>
      <c r="Z230" s="19">
        <v>0</v>
      </c>
      <c r="AA230" s="38">
        <v>0</v>
      </c>
      <c r="AB230" s="38">
        <v>0</v>
      </c>
      <c r="AC230" s="38">
        <v>0</v>
      </c>
      <c r="AD230" s="20">
        <f t="shared" si="317"/>
        <v>0</v>
      </c>
      <c r="AE230" s="19">
        <v>0</v>
      </c>
      <c r="AF230" s="38">
        <v>0</v>
      </c>
      <c r="AG230" s="38">
        <v>0</v>
      </c>
      <c r="AH230" s="38">
        <v>0</v>
      </c>
      <c r="AI230" s="38">
        <f t="shared" si="318"/>
        <v>0</v>
      </c>
      <c r="AJ230" s="19">
        <v>0</v>
      </c>
      <c r="AK230" s="38">
        <v>0</v>
      </c>
      <c r="AL230" s="38">
        <v>0</v>
      </c>
      <c r="AM230" s="38">
        <v>0</v>
      </c>
    </row>
    <row r="231" spans="1:39" s="2" customFormat="1" ht="78.75" outlineLevel="2" x14ac:dyDescent="0.25">
      <c r="A231" s="8" t="s">
        <v>849</v>
      </c>
      <c r="B231" s="114" t="s">
        <v>1035</v>
      </c>
      <c r="C231" s="26" t="s">
        <v>32</v>
      </c>
      <c r="D231" s="31" t="s">
        <v>41</v>
      </c>
      <c r="E231" s="20">
        <f t="shared" si="308"/>
        <v>7837</v>
      </c>
      <c r="F231" s="38">
        <f t="shared" si="310"/>
        <v>0</v>
      </c>
      <c r="G231" s="38">
        <f t="shared" si="311"/>
        <v>0</v>
      </c>
      <c r="H231" s="38">
        <f t="shared" si="312"/>
        <v>7758.6</v>
      </c>
      <c r="I231" s="38">
        <f t="shared" si="313"/>
        <v>78.400000000000006</v>
      </c>
      <c r="J231" s="18">
        <f t="shared" si="314"/>
        <v>0</v>
      </c>
      <c r="K231" s="19">
        <v>0</v>
      </c>
      <c r="L231" s="38">
        <v>0</v>
      </c>
      <c r="M231" s="19">
        <v>0</v>
      </c>
      <c r="N231" s="38">
        <v>0</v>
      </c>
      <c r="O231" s="18">
        <f t="shared" si="315"/>
        <v>0</v>
      </c>
      <c r="P231" s="19">
        <v>0</v>
      </c>
      <c r="Q231" s="38">
        <v>0</v>
      </c>
      <c r="R231" s="38">
        <v>0</v>
      </c>
      <c r="S231" s="38">
        <v>0</v>
      </c>
      <c r="T231" s="18">
        <f t="shared" si="316"/>
        <v>7837</v>
      </c>
      <c r="U231" s="19">
        <v>0</v>
      </c>
      <c r="V231" s="38">
        <v>0</v>
      </c>
      <c r="W231" s="38">
        <v>7758.6</v>
      </c>
      <c r="X231" s="38">
        <v>78.400000000000006</v>
      </c>
      <c r="Y231" s="18">
        <f t="shared" si="309"/>
        <v>0</v>
      </c>
      <c r="Z231" s="19">
        <v>0</v>
      </c>
      <c r="AA231" s="38">
        <v>0</v>
      </c>
      <c r="AB231" s="38">
        <v>0</v>
      </c>
      <c r="AC231" s="38">
        <v>0</v>
      </c>
      <c r="AD231" s="20">
        <f t="shared" si="317"/>
        <v>0</v>
      </c>
      <c r="AE231" s="19">
        <v>0</v>
      </c>
      <c r="AF231" s="38">
        <v>0</v>
      </c>
      <c r="AG231" s="38">
        <v>0</v>
      </c>
      <c r="AH231" s="38">
        <v>0</v>
      </c>
      <c r="AI231" s="38">
        <f t="shared" si="318"/>
        <v>0</v>
      </c>
      <c r="AJ231" s="19">
        <v>0</v>
      </c>
      <c r="AK231" s="38">
        <v>0</v>
      </c>
      <c r="AL231" s="38">
        <v>0</v>
      </c>
      <c r="AM231" s="38">
        <v>0</v>
      </c>
    </row>
    <row r="232" spans="1:39" s="2" customFormat="1" ht="78.75" outlineLevel="2" x14ac:dyDescent="0.25">
      <c r="A232" s="8" t="s">
        <v>850</v>
      </c>
      <c r="B232" s="113" t="s">
        <v>1034</v>
      </c>
      <c r="C232" s="26" t="s">
        <v>32</v>
      </c>
      <c r="D232" s="31" t="s">
        <v>41</v>
      </c>
      <c r="E232" s="20">
        <f t="shared" si="308"/>
        <v>7698.6</v>
      </c>
      <c r="F232" s="38">
        <f t="shared" si="310"/>
        <v>0</v>
      </c>
      <c r="G232" s="38">
        <f t="shared" si="311"/>
        <v>0</v>
      </c>
      <c r="H232" s="38">
        <f t="shared" si="312"/>
        <v>7621.6</v>
      </c>
      <c r="I232" s="38">
        <f t="shared" si="313"/>
        <v>77</v>
      </c>
      <c r="J232" s="18">
        <f t="shared" si="314"/>
        <v>0</v>
      </c>
      <c r="K232" s="19">
        <v>0</v>
      </c>
      <c r="L232" s="38">
        <v>0</v>
      </c>
      <c r="M232" s="19">
        <v>0</v>
      </c>
      <c r="N232" s="38">
        <v>0</v>
      </c>
      <c r="O232" s="18">
        <f t="shared" si="315"/>
        <v>0</v>
      </c>
      <c r="P232" s="19">
        <v>0</v>
      </c>
      <c r="Q232" s="38">
        <v>0</v>
      </c>
      <c r="R232" s="38">
        <v>0</v>
      </c>
      <c r="S232" s="38">
        <v>0</v>
      </c>
      <c r="T232" s="18">
        <f t="shared" si="316"/>
        <v>0</v>
      </c>
      <c r="U232" s="19">
        <v>0</v>
      </c>
      <c r="V232" s="38">
        <v>0</v>
      </c>
      <c r="W232" s="38">
        <v>0</v>
      </c>
      <c r="X232" s="38">
        <v>0</v>
      </c>
      <c r="Y232" s="18">
        <f t="shared" si="309"/>
        <v>0</v>
      </c>
      <c r="Z232" s="19">
        <v>0</v>
      </c>
      <c r="AA232" s="38">
        <v>0</v>
      </c>
      <c r="AB232" s="38">
        <v>0</v>
      </c>
      <c r="AC232" s="38">
        <v>0</v>
      </c>
      <c r="AD232" s="20">
        <f t="shared" si="317"/>
        <v>7698.6</v>
      </c>
      <c r="AE232" s="19">
        <v>0</v>
      </c>
      <c r="AF232" s="38">
        <v>0</v>
      </c>
      <c r="AG232" s="38">
        <v>7621.6</v>
      </c>
      <c r="AH232" s="38">
        <v>77</v>
      </c>
      <c r="AI232" s="38">
        <f t="shared" si="318"/>
        <v>0</v>
      </c>
      <c r="AJ232" s="19">
        <v>0</v>
      </c>
      <c r="AK232" s="38">
        <v>0</v>
      </c>
      <c r="AL232" s="38">
        <v>0</v>
      </c>
      <c r="AM232" s="38">
        <v>0</v>
      </c>
    </row>
    <row r="233" spans="1:39" s="2" customFormat="1" ht="78.75" outlineLevel="2" x14ac:dyDescent="0.25">
      <c r="A233" s="8" t="s">
        <v>851</v>
      </c>
      <c r="B233" s="113" t="s">
        <v>1032</v>
      </c>
      <c r="C233" s="26" t="s">
        <v>32</v>
      </c>
      <c r="D233" s="31" t="s">
        <v>41</v>
      </c>
      <c r="E233" s="20">
        <f t="shared" si="308"/>
        <v>7698.6</v>
      </c>
      <c r="F233" s="38">
        <f t="shared" si="310"/>
        <v>0</v>
      </c>
      <c r="G233" s="38">
        <f t="shared" si="311"/>
        <v>0</v>
      </c>
      <c r="H233" s="38">
        <f>M233+R233+W233+AB233+AG233+AL233</f>
        <v>7621.6</v>
      </c>
      <c r="I233" s="38">
        <f>N233+S233+X233+AC233+AH233+AM233</f>
        <v>77</v>
      </c>
      <c r="J233" s="18">
        <f t="shared" si="314"/>
        <v>0</v>
      </c>
      <c r="K233" s="19">
        <v>0</v>
      </c>
      <c r="L233" s="38">
        <v>0</v>
      </c>
      <c r="M233" s="19">
        <v>0</v>
      </c>
      <c r="N233" s="38">
        <v>0</v>
      </c>
      <c r="O233" s="18">
        <f t="shared" si="315"/>
        <v>0</v>
      </c>
      <c r="P233" s="19">
        <v>0</v>
      </c>
      <c r="Q233" s="38">
        <v>0</v>
      </c>
      <c r="R233" s="38">
        <v>0</v>
      </c>
      <c r="S233" s="38">
        <v>0</v>
      </c>
      <c r="T233" s="18">
        <f t="shared" si="316"/>
        <v>0</v>
      </c>
      <c r="U233" s="19">
        <v>0</v>
      </c>
      <c r="V233" s="38">
        <v>0</v>
      </c>
      <c r="W233" s="38">
        <v>0</v>
      </c>
      <c r="X233" s="38">
        <v>0</v>
      </c>
      <c r="Y233" s="18">
        <f t="shared" ref="Y233:Y235" si="319">AB233+AC233</f>
        <v>0</v>
      </c>
      <c r="Z233" s="19">
        <v>0</v>
      </c>
      <c r="AA233" s="38">
        <v>0</v>
      </c>
      <c r="AB233" s="38">
        <v>0</v>
      </c>
      <c r="AC233" s="38">
        <v>0</v>
      </c>
      <c r="AD233" s="20">
        <f>AG233+AH233</f>
        <v>0</v>
      </c>
      <c r="AE233" s="19">
        <v>0</v>
      </c>
      <c r="AF233" s="38">
        <v>0</v>
      </c>
      <c r="AG233" s="38">
        <v>0</v>
      </c>
      <c r="AH233" s="38">
        <v>0</v>
      </c>
      <c r="AI233" s="20">
        <f>SUM(AK233:AM233)</f>
        <v>7698.6</v>
      </c>
      <c r="AJ233" s="19">
        <v>0</v>
      </c>
      <c r="AK233" s="38">
        <v>0</v>
      </c>
      <c r="AL233" s="38">
        <v>7621.6</v>
      </c>
      <c r="AM233" s="38">
        <v>77</v>
      </c>
    </row>
    <row r="234" spans="1:39" s="2" customFormat="1" ht="78.75" outlineLevel="2" x14ac:dyDescent="0.25">
      <c r="A234" s="8" t="s">
        <v>852</v>
      </c>
      <c r="B234" s="113" t="s">
        <v>1033</v>
      </c>
      <c r="C234" s="26" t="s">
        <v>32</v>
      </c>
      <c r="D234" s="31" t="s">
        <v>41</v>
      </c>
      <c r="E234" s="20">
        <f t="shared" si="308"/>
        <v>7698.6</v>
      </c>
      <c r="F234" s="38">
        <f t="shared" si="310"/>
        <v>0</v>
      </c>
      <c r="G234" s="38">
        <f t="shared" si="311"/>
        <v>0</v>
      </c>
      <c r="H234" s="38">
        <f t="shared" si="312"/>
        <v>7621.6</v>
      </c>
      <c r="I234" s="38">
        <f t="shared" si="313"/>
        <v>77</v>
      </c>
      <c r="J234" s="18">
        <f t="shared" si="314"/>
        <v>0</v>
      </c>
      <c r="K234" s="19">
        <v>0</v>
      </c>
      <c r="L234" s="38">
        <v>0</v>
      </c>
      <c r="M234" s="19">
        <v>0</v>
      </c>
      <c r="N234" s="38">
        <v>0</v>
      </c>
      <c r="O234" s="18">
        <f t="shared" si="315"/>
        <v>0</v>
      </c>
      <c r="P234" s="19">
        <v>0</v>
      </c>
      <c r="Q234" s="38">
        <v>0</v>
      </c>
      <c r="R234" s="38">
        <v>0</v>
      </c>
      <c r="S234" s="38">
        <v>0</v>
      </c>
      <c r="T234" s="18">
        <f t="shared" si="316"/>
        <v>0</v>
      </c>
      <c r="U234" s="19">
        <v>0</v>
      </c>
      <c r="V234" s="38">
        <v>0</v>
      </c>
      <c r="W234" s="38">
        <v>0</v>
      </c>
      <c r="X234" s="38">
        <v>0</v>
      </c>
      <c r="Y234" s="18">
        <f t="shared" si="319"/>
        <v>0</v>
      </c>
      <c r="Z234" s="19">
        <v>0</v>
      </c>
      <c r="AA234" s="38">
        <v>0</v>
      </c>
      <c r="AB234" s="38">
        <v>0</v>
      </c>
      <c r="AC234" s="38">
        <v>0</v>
      </c>
      <c r="AD234" s="20">
        <f>AG234+AH234</f>
        <v>7698.6</v>
      </c>
      <c r="AE234" s="19">
        <v>0</v>
      </c>
      <c r="AF234" s="38">
        <v>0</v>
      </c>
      <c r="AG234" s="38">
        <v>7621.6</v>
      </c>
      <c r="AH234" s="38">
        <v>77</v>
      </c>
      <c r="AI234" s="38">
        <f t="shared" si="318"/>
        <v>0</v>
      </c>
      <c r="AJ234" s="19">
        <v>0</v>
      </c>
      <c r="AK234" s="38">
        <v>0</v>
      </c>
      <c r="AL234" s="38">
        <v>0</v>
      </c>
      <c r="AM234" s="38">
        <v>0</v>
      </c>
    </row>
    <row r="235" spans="1:39" s="2" customFormat="1" ht="69.75" customHeight="1" outlineLevel="2" x14ac:dyDescent="0.25">
      <c r="A235" s="8" t="s">
        <v>853</v>
      </c>
      <c r="B235" s="121" t="s">
        <v>844</v>
      </c>
      <c r="C235" s="26" t="s">
        <v>32</v>
      </c>
      <c r="D235" s="31" t="s">
        <v>41</v>
      </c>
      <c r="E235" s="20">
        <f t="shared" ref="E235:E241" si="320">SUM(F235:I235)</f>
        <v>1000.1</v>
      </c>
      <c r="F235" s="38">
        <f t="shared" ref="F235:F241" si="321">K235+P235+U235</f>
        <v>0</v>
      </c>
      <c r="G235" s="38">
        <f t="shared" ref="G235:I236" si="322">L235+Q235+V235+AA235+AF235+AK235</f>
        <v>0</v>
      </c>
      <c r="H235" s="38">
        <f t="shared" si="322"/>
        <v>990.1</v>
      </c>
      <c r="I235" s="38">
        <f t="shared" si="322"/>
        <v>10</v>
      </c>
      <c r="J235" s="18">
        <f t="shared" ref="J235:J241" si="323">SUM(K235:N235)</f>
        <v>0</v>
      </c>
      <c r="K235" s="19">
        <v>0</v>
      </c>
      <c r="L235" s="38">
        <v>0</v>
      </c>
      <c r="M235" s="19">
        <v>0</v>
      </c>
      <c r="N235" s="38">
        <v>0</v>
      </c>
      <c r="O235" s="18">
        <f t="shared" ref="O235:O241" si="324">SUM(P235:S235)</f>
        <v>0</v>
      </c>
      <c r="P235" s="19">
        <v>0</v>
      </c>
      <c r="Q235" s="38">
        <v>0</v>
      </c>
      <c r="R235" s="38">
        <v>0</v>
      </c>
      <c r="S235" s="38">
        <v>0</v>
      </c>
      <c r="T235" s="18">
        <f>W235+X235</f>
        <v>1000.1</v>
      </c>
      <c r="U235" s="19"/>
      <c r="V235" s="38">
        <v>0</v>
      </c>
      <c r="W235" s="38">
        <v>990.1</v>
      </c>
      <c r="X235" s="38">
        <v>10</v>
      </c>
      <c r="Y235" s="18">
        <f t="shared" si="319"/>
        <v>0</v>
      </c>
      <c r="Z235" s="19">
        <v>0</v>
      </c>
      <c r="AA235" s="38">
        <v>0</v>
      </c>
      <c r="AB235" s="38">
        <v>0</v>
      </c>
      <c r="AC235" s="38">
        <v>0</v>
      </c>
      <c r="AD235" s="20">
        <f t="shared" ref="AD235:AM235" si="325">SUM(AD244:AD246)</f>
        <v>0</v>
      </c>
      <c r="AE235" s="20">
        <f t="shared" si="325"/>
        <v>0</v>
      </c>
      <c r="AF235" s="20">
        <f t="shared" si="325"/>
        <v>0</v>
      </c>
      <c r="AG235" s="20">
        <f t="shared" si="325"/>
        <v>0</v>
      </c>
      <c r="AH235" s="20">
        <f t="shared" si="325"/>
        <v>0</v>
      </c>
      <c r="AI235" s="20">
        <f t="shared" si="325"/>
        <v>0</v>
      </c>
      <c r="AJ235" s="20">
        <f t="shared" si="325"/>
        <v>0</v>
      </c>
      <c r="AK235" s="20">
        <f t="shared" si="325"/>
        <v>0</v>
      </c>
      <c r="AL235" s="20">
        <f t="shared" si="325"/>
        <v>0</v>
      </c>
      <c r="AM235" s="20">
        <f t="shared" si="325"/>
        <v>0</v>
      </c>
    </row>
    <row r="236" spans="1:39" s="2" customFormat="1" ht="129" customHeight="1" outlineLevel="2" x14ac:dyDescent="0.25">
      <c r="A236" s="8" t="s">
        <v>854</v>
      </c>
      <c r="B236" s="121" t="s">
        <v>898</v>
      </c>
      <c r="C236" s="26" t="s">
        <v>32</v>
      </c>
      <c r="D236" s="31" t="s">
        <v>118</v>
      </c>
      <c r="E236" s="20">
        <f t="shared" si="320"/>
        <v>4032.6</v>
      </c>
      <c r="F236" s="38">
        <f t="shared" si="321"/>
        <v>0</v>
      </c>
      <c r="G236" s="38">
        <f t="shared" si="322"/>
        <v>0</v>
      </c>
      <c r="H236" s="38">
        <f t="shared" si="322"/>
        <v>4032.6</v>
      </c>
      <c r="I236" s="38">
        <f t="shared" si="322"/>
        <v>0</v>
      </c>
      <c r="J236" s="18">
        <f t="shared" si="323"/>
        <v>0</v>
      </c>
      <c r="K236" s="19">
        <v>0</v>
      </c>
      <c r="L236" s="38">
        <v>0</v>
      </c>
      <c r="M236" s="19">
        <v>0</v>
      </c>
      <c r="N236" s="38">
        <v>0</v>
      </c>
      <c r="O236" s="18">
        <f t="shared" si="324"/>
        <v>0</v>
      </c>
      <c r="P236" s="19">
        <v>0</v>
      </c>
      <c r="Q236" s="38">
        <v>0</v>
      </c>
      <c r="R236" s="38">
        <v>0</v>
      </c>
      <c r="S236" s="38">
        <v>0</v>
      </c>
      <c r="T236" s="18">
        <f>W236</f>
        <v>4032.6</v>
      </c>
      <c r="U236" s="19"/>
      <c r="V236" s="38">
        <v>0</v>
      </c>
      <c r="W236" s="38">
        <v>4032.6</v>
      </c>
      <c r="X236" s="38">
        <v>0</v>
      </c>
      <c r="Y236" s="18">
        <f t="shared" ref="Y236:Y237" si="326">AB236+AC236</f>
        <v>0</v>
      </c>
      <c r="Z236" s="19">
        <v>0</v>
      </c>
      <c r="AA236" s="38">
        <v>0</v>
      </c>
      <c r="AB236" s="38">
        <v>0</v>
      </c>
      <c r="AC236" s="38">
        <v>0</v>
      </c>
      <c r="AD236" s="20">
        <f t="shared" ref="AD236:AM236" si="327">SUM(AD245:AD247)</f>
        <v>0</v>
      </c>
      <c r="AE236" s="20">
        <f t="shared" si="327"/>
        <v>0</v>
      </c>
      <c r="AF236" s="20">
        <f t="shared" si="327"/>
        <v>0</v>
      </c>
      <c r="AG236" s="20">
        <f t="shared" si="327"/>
        <v>0</v>
      </c>
      <c r="AH236" s="20">
        <f t="shared" si="327"/>
        <v>0</v>
      </c>
      <c r="AI236" s="20">
        <f t="shared" si="327"/>
        <v>0</v>
      </c>
      <c r="AJ236" s="20">
        <f t="shared" si="327"/>
        <v>0</v>
      </c>
      <c r="AK236" s="20">
        <f t="shared" si="327"/>
        <v>0</v>
      </c>
      <c r="AL236" s="20">
        <f t="shared" si="327"/>
        <v>0</v>
      </c>
      <c r="AM236" s="20">
        <f t="shared" si="327"/>
        <v>0</v>
      </c>
    </row>
    <row r="237" spans="1:39" s="2" customFormat="1" ht="106.5" customHeight="1" outlineLevel="2" x14ac:dyDescent="0.25">
      <c r="A237" s="8" t="s">
        <v>855</v>
      </c>
      <c r="B237" s="121" t="s">
        <v>945</v>
      </c>
      <c r="C237" s="26" t="s">
        <v>32</v>
      </c>
      <c r="D237" s="31" t="s">
        <v>118</v>
      </c>
      <c r="E237" s="20">
        <f t="shared" si="320"/>
        <v>783.4</v>
      </c>
      <c r="F237" s="38">
        <f t="shared" si="321"/>
        <v>0</v>
      </c>
      <c r="G237" s="38">
        <f t="shared" ref="G237" si="328">L237+Q237+V237+AA237+AF237+AK237</f>
        <v>0</v>
      </c>
      <c r="H237" s="38">
        <f t="shared" ref="H237" si="329">M237+R237+W237+AB237+AG237+AL237</f>
        <v>783.4</v>
      </c>
      <c r="I237" s="38">
        <f t="shared" ref="I237" si="330">N237+S237+X237+AC237+AH237+AM237</f>
        <v>0</v>
      </c>
      <c r="J237" s="18">
        <f t="shared" si="323"/>
        <v>0</v>
      </c>
      <c r="K237" s="19">
        <v>0</v>
      </c>
      <c r="L237" s="38">
        <v>0</v>
      </c>
      <c r="M237" s="19">
        <v>0</v>
      </c>
      <c r="N237" s="38">
        <v>0</v>
      </c>
      <c r="O237" s="18">
        <f t="shared" si="324"/>
        <v>0</v>
      </c>
      <c r="P237" s="19">
        <v>0</v>
      </c>
      <c r="Q237" s="38">
        <v>0</v>
      </c>
      <c r="R237" s="38">
        <v>0</v>
      </c>
      <c r="S237" s="38">
        <v>0</v>
      </c>
      <c r="T237" s="18">
        <f>W237</f>
        <v>783.4</v>
      </c>
      <c r="U237" s="19"/>
      <c r="V237" s="38">
        <v>0</v>
      </c>
      <c r="W237" s="38">
        <f>845.9-62.5</f>
        <v>783.4</v>
      </c>
      <c r="X237" s="38">
        <v>0</v>
      </c>
      <c r="Y237" s="18">
        <f t="shared" si="326"/>
        <v>0</v>
      </c>
      <c r="Z237" s="19">
        <v>0</v>
      </c>
      <c r="AA237" s="38">
        <v>0</v>
      </c>
      <c r="AB237" s="38">
        <v>0</v>
      </c>
      <c r="AC237" s="38">
        <v>0</v>
      </c>
      <c r="AD237" s="20">
        <f t="shared" ref="AD237:AM237" si="331">SUM(AD246:AD248)</f>
        <v>0</v>
      </c>
      <c r="AE237" s="20">
        <f t="shared" si="331"/>
        <v>0</v>
      </c>
      <c r="AF237" s="20">
        <f t="shared" si="331"/>
        <v>0</v>
      </c>
      <c r="AG237" s="20">
        <f t="shared" si="331"/>
        <v>0</v>
      </c>
      <c r="AH237" s="20">
        <f t="shared" si="331"/>
        <v>0</v>
      </c>
      <c r="AI237" s="20">
        <f t="shared" si="331"/>
        <v>0</v>
      </c>
      <c r="AJ237" s="20">
        <f t="shared" si="331"/>
        <v>0</v>
      </c>
      <c r="AK237" s="20">
        <f t="shared" si="331"/>
        <v>0</v>
      </c>
      <c r="AL237" s="20">
        <f t="shared" si="331"/>
        <v>0</v>
      </c>
      <c r="AM237" s="20">
        <f t="shared" si="331"/>
        <v>0</v>
      </c>
    </row>
    <row r="238" spans="1:39" s="2" customFormat="1" ht="97.5" customHeight="1" outlineLevel="2" x14ac:dyDescent="0.25">
      <c r="A238" s="8" t="s">
        <v>856</v>
      </c>
      <c r="B238" s="121" t="s">
        <v>1066</v>
      </c>
      <c r="C238" s="26" t="s">
        <v>32</v>
      </c>
      <c r="D238" s="31" t="s">
        <v>41</v>
      </c>
      <c r="E238" s="20">
        <f t="shared" si="320"/>
        <v>2856.2999999999997</v>
      </c>
      <c r="F238" s="38">
        <f t="shared" si="321"/>
        <v>0</v>
      </c>
      <c r="G238" s="38">
        <f t="shared" ref="G238" si="332">L238+Q238+V238+AA238+AF238+AK238</f>
        <v>0</v>
      </c>
      <c r="H238" s="38">
        <f t="shared" ref="H238" si="333">M238+R238+W238+AB238+AG238+AL238</f>
        <v>2827.7</v>
      </c>
      <c r="I238" s="38">
        <f t="shared" ref="I238" si="334">N238+S238+X238+AC238+AH238+AM238</f>
        <v>28.6</v>
      </c>
      <c r="J238" s="18">
        <f t="shared" si="323"/>
        <v>0</v>
      </c>
      <c r="K238" s="19">
        <v>0</v>
      </c>
      <c r="L238" s="38">
        <v>0</v>
      </c>
      <c r="M238" s="19">
        <v>0</v>
      </c>
      <c r="N238" s="38">
        <v>0</v>
      </c>
      <c r="O238" s="18">
        <f t="shared" si="324"/>
        <v>0</v>
      </c>
      <c r="P238" s="19">
        <v>0</v>
      </c>
      <c r="Q238" s="38">
        <v>0</v>
      </c>
      <c r="R238" s="38">
        <v>0</v>
      </c>
      <c r="S238" s="38">
        <v>0</v>
      </c>
      <c r="T238" s="18">
        <f>W238</f>
        <v>0</v>
      </c>
      <c r="U238" s="19"/>
      <c r="V238" s="38">
        <v>0</v>
      </c>
      <c r="W238" s="38">
        <v>0</v>
      </c>
      <c r="X238" s="38">
        <v>0</v>
      </c>
      <c r="Y238" s="18">
        <f t="shared" ref="Y238" si="335">AB238+AC238</f>
        <v>2856.2999999999997</v>
      </c>
      <c r="Z238" s="19">
        <v>0</v>
      </c>
      <c r="AA238" s="38">
        <v>0</v>
      </c>
      <c r="AB238" s="38">
        <v>2827.7</v>
      </c>
      <c r="AC238" s="38">
        <v>28.6</v>
      </c>
      <c r="AD238" s="20">
        <f t="shared" ref="AD238:AM238" si="336">SUM(AD247:AD249)</f>
        <v>0</v>
      </c>
      <c r="AE238" s="20">
        <f t="shared" si="336"/>
        <v>0</v>
      </c>
      <c r="AF238" s="20">
        <f t="shared" si="336"/>
        <v>0</v>
      </c>
      <c r="AG238" s="20">
        <f t="shared" si="336"/>
        <v>0</v>
      </c>
      <c r="AH238" s="20">
        <f t="shared" si="336"/>
        <v>0</v>
      </c>
      <c r="AI238" s="20">
        <f t="shared" si="336"/>
        <v>0</v>
      </c>
      <c r="AJ238" s="20">
        <f t="shared" si="336"/>
        <v>0</v>
      </c>
      <c r="AK238" s="20">
        <f t="shared" si="336"/>
        <v>0</v>
      </c>
      <c r="AL238" s="20">
        <f t="shared" si="336"/>
        <v>0</v>
      </c>
      <c r="AM238" s="20">
        <f t="shared" si="336"/>
        <v>0</v>
      </c>
    </row>
    <row r="239" spans="1:39" s="2" customFormat="1" ht="97.5" customHeight="1" outlineLevel="2" x14ac:dyDescent="0.25">
      <c r="A239" s="8" t="s">
        <v>857</v>
      </c>
      <c r="B239" s="121" t="s">
        <v>1068</v>
      </c>
      <c r="C239" s="26" t="s">
        <v>32</v>
      </c>
      <c r="D239" s="31" t="s">
        <v>41</v>
      </c>
      <c r="E239" s="20">
        <f t="shared" si="320"/>
        <v>7580.8</v>
      </c>
      <c r="F239" s="38">
        <f t="shared" si="321"/>
        <v>0</v>
      </c>
      <c r="G239" s="38">
        <f t="shared" ref="G239" si="337">L239+Q239+V239+AA239+AF239+AK239</f>
        <v>0</v>
      </c>
      <c r="H239" s="38">
        <f t="shared" ref="H239" si="338">M239+R239+W239+AB239+AG239+AL239</f>
        <v>7505</v>
      </c>
      <c r="I239" s="38">
        <f t="shared" ref="I239" si="339">N239+S239+X239+AC239+AH239+AM239</f>
        <v>75.799999999999983</v>
      </c>
      <c r="J239" s="18">
        <f t="shared" si="323"/>
        <v>0</v>
      </c>
      <c r="K239" s="19">
        <v>0</v>
      </c>
      <c r="L239" s="38">
        <v>0</v>
      </c>
      <c r="M239" s="19">
        <v>0</v>
      </c>
      <c r="N239" s="38">
        <v>0</v>
      </c>
      <c r="O239" s="18">
        <f t="shared" si="324"/>
        <v>0</v>
      </c>
      <c r="P239" s="19">
        <v>0</v>
      </c>
      <c r="Q239" s="38">
        <v>0</v>
      </c>
      <c r="R239" s="38">
        <v>0</v>
      </c>
      <c r="S239" s="38">
        <v>0</v>
      </c>
      <c r="T239" s="18">
        <f>W239</f>
        <v>0</v>
      </c>
      <c r="U239" s="19"/>
      <c r="V239" s="38">
        <v>0</v>
      </c>
      <c r="W239" s="38">
        <v>0</v>
      </c>
      <c r="X239" s="38">
        <v>0</v>
      </c>
      <c r="Y239" s="18">
        <f t="shared" ref="Y239" si="340">AB239+AC239</f>
        <v>7580.8</v>
      </c>
      <c r="Z239" s="19">
        <v>0</v>
      </c>
      <c r="AA239" s="38">
        <v>0</v>
      </c>
      <c r="AB239" s="38">
        <f>8332.5-827.5</f>
        <v>7505</v>
      </c>
      <c r="AC239" s="38">
        <f>136.7-60.9</f>
        <v>75.799999999999983</v>
      </c>
      <c r="AD239" s="20">
        <f t="shared" ref="AD239:AM239" si="341">SUM(AD248:AD250)</f>
        <v>0</v>
      </c>
      <c r="AE239" s="20">
        <f t="shared" si="341"/>
        <v>0</v>
      </c>
      <c r="AF239" s="20">
        <f t="shared" si="341"/>
        <v>0</v>
      </c>
      <c r="AG239" s="20">
        <f t="shared" si="341"/>
        <v>0</v>
      </c>
      <c r="AH239" s="20">
        <f t="shared" si="341"/>
        <v>0</v>
      </c>
      <c r="AI239" s="20">
        <f t="shared" si="341"/>
        <v>0</v>
      </c>
      <c r="AJ239" s="20">
        <f t="shared" si="341"/>
        <v>0</v>
      </c>
      <c r="AK239" s="20">
        <f t="shared" si="341"/>
        <v>0</v>
      </c>
      <c r="AL239" s="20">
        <f t="shared" si="341"/>
        <v>0</v>
      </c>
      <c r="AM239" s="20">
        <f t="shared" si="341"/>
        <v>0</v>
      </c>
    </row>
    <row r="240" spans="1:39" s="2" customFormat="1" ht="97.5" customHeight="1" outlineLevel="2" x14ac:dyDescent="0.25">
      <c r="A240" s="8" t="s">
        <v>1067</v>
      </c>
      <c r="B240" s="121" t="s">
        <v>1070</v>
      </c>
      <c r="C240" s="26" t="s">
        <v>32</v>
      </c>
      <c r="D240" s="31" t="s">
        <v>41</v>
      </c>
      <c r="E240" s="20">
        <f t="shared" si="320"/>
        <v>5104.2</v>
      </c>
      <c r="F240" s="38">
        <f t="shared" si="321"/>
        <v>0</v>
      </c>
      <c r="G240" s="38">
        <f t="shared" ref="G240" si="342">L240+Q240+V240+AA240+AF240+AK240</f>
        <v>0</v>
      </c>
      <c r="H240" s="38">
        <f t="shared" ref="H240" si="343">M240+R240+W240+AB240+AG240+AL240</f>
        <v>5053.2</v>
      </c>
      <c r="I240" s="38">
        <f t="shared" ref="I240" si="344">N240+S240+X240+AC240+AH240+AM240</f>
        <v>51</v>
      </c>
      <c r="J240" s="18">
        <f t="shared" si="323"/>
        <v>0</v>
      </c>
      <c r="K240" s="19">
        <v>0</v>
      </c>
      <c r="L240" s="38">
        <v>0</v>
      </c>
      <c r="M240" s="19">
        <v>0</v>
      </c>
      <c r="N240" s="38">
        <v>0</v>
      </c>
      <c r="O240" s="18">
        <f t="shared" si="324"/>
        <v>0</v>
      </c>
      <c r="P240" s="19">
        <v>0</v>
      </c>
      <c r="Q240" s="38">
        <v>0</v>
      </c>
      <c r="R240" s="38">
        <v>0</v>
      </c>
      <c r="S240" s="38">
        <v>0</v>
      </c>
      <c r="T240" s="18">
        <f>W240</f>
        <v>0</v>
      </c>
      <c r="U240" s="19"/>
      <c r="V240" s="38">
        <v>0</v>
      </c>
      <c r="W240" s="38">
        <v>0</v>
      </c>
      <c r="X240" s="38">
        <v>0</v>
      </c>
      <c r="Y240" s="18">
        <f t="shared" ref="Y240" si="345">AB240+AC240</f>
        <v>5104.2</v>
      </c>
      <c r="Z240" s="19">
        <v>0</v>
      </c>
      <c r="AA240" s="38">
        <v>0</v>
      </c>
      <c r="AB240" s="38">
        <f>6066.9-1013.7</f>
        <v>5053.2</v>
      </c>
      <c r="AC240" s="38">
        <f>61.3-10.3</f>
        <v>51</v>
      </c>
      <c r="AD240" s="18">
        <f>SUM(AE240:AH240)</f>
        <v>0</v>
      </c>
      <c r="AE240" s="19">
        <v>0</v>
      </c>
      <c r="AF240" s="38">
        <v>0</v>
      </c>
      <c r="AG240" s="19">
        <v>0</v>
      </c>
      <c r="AH240" s="38">
        <v>0</v>
      </c>
      <c r="AI240" s="18">
        <f>SUM(AJ240:AM240)</f>
        <v>0</v>
      </c>
      <c r="AJ240" s="19">
        <v>0</v>
      </c>
      <c r="AK240" s="38">
        <v>0</v>
      </c>
      <c r="AL240" s="19">
        <v>0</v>
      </c>
      <c r="AM240" s="38">
        <v>0</v>
      </c>
    </row>
    <row r="241" spans="1:39" s="2" customFormat="1" ht="80.25" customHeight="1" outlineLevel="2" x14ac:dyDescent="0.25">
      <c r="A241" s="8" t="s">
        <v>1069</v>
      </c>
      <c r="B241" s="121" t="s">
        <v>1095</v>
      </c>
      <c r="C241" s="26" t="s">
        <v>32</v>
      </c>
      <c r="D241" s="31" t="s">
        <v>118</v>
      </c>
      <c r="E241" s="20">
        <f t="shared" si="320"/>
        <v>3110</v>
      </c>
      <c r="F241" s="38">
        <f t="shared" si="321"/>
        <v>0</v>
      </c>
      <c r="G241" s="38">
        <f t="shared" ref="G241" si="346">L241+Q241+V241+AA241+AF241+AK241</f>
        <v>0</v>
      </c>
      <c r="H241" s="38">
        <f>M241+R241+W241+AB241+AG241+AL241</f>
        <v>3110</v>
      </c>
      <c r="I241" s="38">
        <f t="shared" ref="I241" si="347">N241+S241+X241+AC241+AH241+AM241</f>
        <v>0</v>
      </c>
      <c r="J241" s="18">
        <f t="shared" si="323"/>
        <v>0</v>
      </c>
      <c r="K241" s="19">
        <v>0</v>
      </c>
      <c r="L241" s="38">
        <v>0</v>
      </c>
      <c r="M241" s="19">
        <v>0</v>
      </c>
      <c r="N241" s="38">
        <v>0</v>
      </c>
      <c r="O241" s="18">
        <f t="shared" si="324"/>
        <v>0</v>
      </c>
      <c r="P241" s="19">
        <v>0</v>
      </c>
      <c r="Q241" s="38">
        <v>0</v>
      </c>
      <c r="R241" s="19">
        <v>0</v>
      </c>
      <c r="S241" s="38">
        <v>0</v>
      </c>
      <c r="T241" s="18">
        <f>SUM(U241:X241)</f>
        <v>0</v>
      </c>
      <c r="U241" s="19">
        <v>0</v>
      </c>
      <c r="V241" s="38">
        <v>0</v>
      </c>
      <c r="W241" s="19">
        <v>0</v>
      </c>
      <c r="X241" s="38">
        <v>0</v>
      </c>
      <c r="Y241" s="18">
        <f>SUM(Z241:AC241)</f>
        <v>0</v>
      </c>
      <c r="Z241" s="19">
        <v>0</v>
      </c>
      <c r="AA241" s="38">
        <v>0</v>
      </c>
      <c r="AB241" s="19">
        <f>3110-3110</f>
        <v>0</v>
      </c>
      <c r="AC241" s="38">
        <v>0</v>
      </c>
      <c r="AD241" s="18">
        <f>SUM(AE241:AH241)</f>
        <v>3110</v>
      </c>
      <c r="AE241" s="19">
        <v>0</v>
      </c>
      <c r="AF241" s="38">
        <v>0</v>
      </c>
      <c r="AG241" s="19">
        <v>3110</v>
      </c>
      <c r="AH241" s="38">
        <v>0</v>
      </c>
      <c r="AI241" s="18">
        <f>SUM(AJ241:AM241)</f>
        <v>0</v>
      </c>
      <c r="AJ241" s="19">
        <v>0</v>
      </c>
      <c r="AK241" s="38">
        <v>0</v>
      </c>
      <c r="AL241" s="19">
        <v>0</v>
      </c>
      <c r="AM241" s="38">
        <v>0</v>
      </c>
    </row>
    <row r="242" spans="1:39" s="2" customFormat="1" ht="171.75" customHeight="1" outlineLevel="2" x14ac:dyDescent="0.25">
      <c r="A242" s="8" t="s">
        <v>1115</v>
      </c>
      <c r="B242" s="121" t="s">
        <v>1116</v>
      </c>
      <c r="C242" s="26" t="s">
        <v>32</v>
      </c>
      <c r="D242" s="31" t="s">
        <v>118</v>
      </c>
      <c r="E242" s="20">
        <f t="shared" ref="E242" si="348">SUM(F242:I242)</f>
        <v>98.8</v>
      </c>
      <c r="F242" s="38">
        <f t="shared" ref="F242" si="349">K242+P242+U242</f>
        <v>0</v>
      </c>
      <c r="G242" s="38">
        <f t="shared" ref="G242" si="350">L242+Q242+V242+AA242+AF242+AK242</f>
        <v>0</v>
      </c>
      <c r="H242" s="38">
        <f>M242+R242+W242+AB242+AG242+AL242</f>
        <v>98.8</v>
      </c>
      <c r="I242" s="38">
        <f t="shared" ref="I242" si="351">N242+S242+X242+AC242+AH242+AM242</f>
        <v>0</v>
      </c>
      <c r="J242" s="18">
        <f t="shared" ref="J242" si="352">SUM(K242:N242)</f>
        <v>0</v>
      </c>
      <c r="K242" s="19">
        <v>0</v>
      </c>
      <c r="L242" s="38">
        <v>0</v>
      </c>
      <c r="M242" s="19">
        <v>0</v>
      </c>
      <c r="N242" s="38">
        <v>0</v>
      </c>
      <c r="O242" s="18">
        <f t="shared" ref="O242" si="353">SUM(P242:S242)</f>
        <v>0</v>
      </c>
      <c r="P242" s="19">
        <v>0</v>
      </c>
      <c r="Q242" s="38">
        <v>0</v>
      </c>
      <c r="R242" s="19">
        <v>0</v>
      </c>
      <c r="S242" s="38">
        <v>0</v>
      </c>
      <c r="T242" s="18">
        <f>SUM(U242:X242)</f>
        <v>0</v>
      </c>
      <c r="U242" s="19">
        <v>0</v>
      </c>
      <c r="V242" s="38">
        <v>0</v>
      </c>
      <c r="W242" s="19">
        <v>0</v>
      </c>
      <c r="X242" s="38">
        <v>0</v>
      </c>
      <c r="Y242" s="18">
        <f>SUM(Z242:AC242)</f>
        <v>98.8</v>
      </c>
      <c r="Z242" s="19">
        <v>0</v>
      </c>
      <c r="AA242" s="38">
        <v>0</v>
      </c>
      <c r="AB242" s="19">
        <v>98.8</v>
      </c>
      <c r="AC242" s="38">
        <v>0</v>
      </c>
      <c r="AD242" s="18">
        <f>SUM(AE242:AH242)</f>
        <v>0</v>
      </c>
      <c r="AE242" s="19">
        <v>0</v>
      </c>
      <c r="AF242" s="38">
        <v>0</v>
      </c>
      <c r="AG242" s="19">
        <v>0</v>
      </c>
      <c r="AH242" s="38">
        <v>0</v>
      </c>
      <c r="AI242" s="18">
        <f>SUM(AJ242:AM242)</f>
        <v>0</v>
      </c>
      <c r="AJ242" s="19">
        <v>0</v>
      </c>
      <c r="AK242" s="38">
        <v>0</v>
      </c>
      <c r="AL242" s="19">
        <v>0</v>
      </c>
      <c r="AM242" s="38">
        <v>0</v>
      </c>
    </row>
    <row r="243" spans="1:39" s="2" customFormat="1" ht="84" customHeight="1" outlineLevel="2" x14ac:dyDescent="0.25">
      <c r="A243" s="8" t="s">
        <v>1130</v>
      </c>
      <c r="B243" s="121" t="s">
        <v>1131</v>
      </c>
      <c r="C243" s="26" t="s">
        <v>32</v>
      </c>
      <c r="D243" s="31" t="s">
        <v>41</v>
      </c>
      <c r="E243" s="20">
        <f t="shared" ref="E243" si="354">SUM(F243:I243)</f>
        <v>16902.8</v>
      </c>
      <c r="F243" s="38">
        <f t="shared" ref="F243" si="355">K243+P243+U243</f>
        <v>0</v>
      </c>
      <c r="G243" s="38">
        <f t="shared" ref="G243" si="356">L243+Q243+V243+AA243+AF243+AK243</f>
        <v>0</v>
      </c>
      <c r="H243" s="38">
        <f>M243+R243+W243+AB243+AG243+AL243</f>
        <v>16733.8</v>
      </c>
      <c r="I243" s="38">
        <f t="shared" ref="I243" si="357">N243+S243+X243+AC243+AH243+AM243</f>
        <v>169</v>
      </c>
      <c r="J243" s="18">
        <f t="shared" ref="J243" si="358">SUM(K243:N243)</f>
        <v>0</v>
      </c>
      <c r="K243" s="19">
        <v>0</v>
      </c>
      <c r="L243" s="38">
        <v>0</v>
      </c>
      <c r="M243" s="19">
        <v>0</v>
      </c>
      <c r="N243" s="38">
        <v>0</v>
      </c>
      <c r="O243" s="18">
        <f t="shared" ref="O243" si="359">SUM(P243:S243)</f>
        <v>0</v>
      </c>
      <c r="P243" s="19">
        <v>0</v>
      </c>
      <c r="Q243" s="38">
        <v>0</v>
      </c>
      <c r="R243" s="19">
        <v>0</v>
      </c>
      <c r="S243" s="38">
        <v>0</v>
      </c>
      <c r="T243" s="18">
        <f>SUM(U243:X243)</f>
        <v>0</v>
      </c>
      <c r="U243" s="19">
        <v>0</v>
      </c>
      <c r="V243" s="38">
        <v>0</v>
      </c>
      <c r="W243" s="19">
        <v>0</v>
      </c>
      <c r="X243" s="38">
        <v>0</v>
      </c>
      <c r="Y243" s="18">
        <f>SUM(Z243:AC243)</f>
        <v>0</v>
      </c>
      <c r="Z243" s="19">
        <v>0</v>
      </c>
      <c r="AA243" s="38">
        <v>0</v>
      </c>
      <c r="AB243" s="19">
        <v>0</v>
      </c>
      <c r="AC243" s="38">
        <v>0</v>
      </c>
      <c r="AD243" s="18">
        <f>SUM(AE243:AH243)</f>
        <v>16902.8</v>
      </c>
      <c r="AE243" s="19">
        <v>0</v>
      </c>
      <c r="AF243" s="38">
        <v>0</v>
      </c>
      <c r="AG243" s="19">
        <v>16733.8</v>
      </c>
      <c r="AH243" s="38">
        <v>169</v>
      </c>
      <c r="AI243" s="18">
        <f>SUM(AJ243:AM243)</f>
        <v>0</v>
      </c>
      <c r="AJ243" s="19">
        <v>0</v>
      </c>
      <c r="AK243" s="38">
        <v>0</v>
      </c>
      <c r="AL243" s="19">
        <v>0</v>
      </c>
      <c r="AM243" s="38">
        <v>0</v>
      </c>
    </row>
    <row r="244" spans="1:39" s="2" customFormat="1" ht="42" customHeight="1" outlineLevel="2" x14ac:dyDescent="0.25">
      <c r="A244" s="165" t="s">
        <v>532</v>
      </c>
      <c r="B244" s="194" t="s">
        <v>458</v>
      </c>
      <c r="C244" s="195"/>
      <c r="D244" s="195"/>
      <c r="E244" s="20">
        <f>SUM(E245:E247)</f>
        <v>11490</v>
      </c>
      <c r="F244" s="20">
        <f t="shared" ref="F244:AM244" si="360">SUM(F245:F247)</f>
        <v>0</v>
      </c>
      <c r="G244" s="20">
        <f t="shared" si="360"/>
        <v>0</v>
      </c>
      <c r="H244" s="20">
        <f t="shared" si="360"/>
        <v>11375.099999999999</v>
      </c>
      <c r="I244" s="20">
        <f t="shared" si="360"/>
        <v>114.89999999999999</v>
      </c>
      <c r="J244" s="20">
        <f t="shared" si="360"/>
        <v>4913.1000000000004</v>
      </c>
      <c r="K244" s="20">
        <f t="shared" si="360"/>
        <v>0</v>
      </c>
      <c r="L244" s="20">
        <f t="shared" si="360"/>
        <v>0</v>
      </c>
      <c r="M244" s="20">
        <f t="shared" si="360"/>
        <v>4864</v>
      </c>
      <c r="N244" s="20">
        <f t="shared" si="360"/>
        <v>49.1</v>
      </c>
      <c r="O244" s="20">
        <f t="shared" si="360"/>
        <v>4524.7000000000007</v>
      </c>
      <c r="P244" s="20">
        <f t="shared" si="360"/>
        <v>0</v>
      </c>
      <c r="Q244" s="20">
        <f t="shared" si="360"/>
        <v>0</v>
      </c>
      <c r="R244" s="20">
        <f t="shared" si="360"/>
        <v>4479.3999999999996</v>
      </c>
      <c r="S244" s="20">
        <f t="shared" si="360"/>
        <v>45.3</v>
      </c>
      <c r="T244" s="20">
        <f t="shared" si="360"/>
        <v>2052.1999999999998</v>
      </c>
      <c r="U244" s="20">
        <f t="shared" si="360"/>
        <v>0</v>
      </c>
      <c r="V244" s="20">
        <f t="shared" si="360"/>
        <v>0</v>
      </c>
      <c r="W244" s="20">
        <f>SUM(W245:W247)</f>
        <v>2031.7</v>
      </c>
      <c r="X244" s="20">
        <f t="shared" si="360"/>
        <v>20.5</v>
      </c>
      <c r="Y244" s="20">
        <f t="shared" si="360"/>
        <v>0</v>
      </c>
      <c r="Z244" s="20">
        <f t="shared" si="360"/>
        <v>0</v>
      </c>
      <c r="AA244" s="20">
        <f>SUM(AA245:AA247)</f>
        <v>0</v>
      </c>
      <c r="AB244" s="20">
        <f t="shared" si="360"/>
        <v>0</v>
      </c>
      <c r="AC244" s="20">
        <f t="shared" si="360"/>
        <v>0</v>
      </c>
      <c r="AD244" s="20">
        <f t="shared" si="360"/>
        <v>0</v>
      </c>
      <c r="AE244" s="20">
        <f t="shared" si="360"/>
        <v>0</v>
      </c>
      <c r="AF244" s="20">
        <f t="shared" si="360"/>
        <v>0</v>
      </c>
      <c r="AG244" s="20">
        <f t="shared" si="360"/>
        <v>0</v>
      </c>
      <c r="AH244" s="20">
        <f t="shared" si="360"/>
        <v>0</v>
      </c>
      <c r="AI244" s="20">
        <f t="shared" si="360"/>
        <v>0</v>
      </c>
      <c r="AJ244" s="20">
        <f t="shared" si="360"/>
        <v>0</v>
      </c>
      <c r="AK244" s="20">
        <f t="shared" si="360"/>
        <v>0</v>
      </c>
      <c r="AL244" s="20">
        <f t="shared" si="360"/>
        <v>0</v>
      </c>
      <c r="AM244" s="20">
        <f t="shared" si="360"/>
        <v>0</v>
      </c>
    </row>
    <row r="245" spans="1:39" s="2" customFormat="1" ht="47.25" outlineLevel="2" x14ac:dyDescent="0.25">
      <c r="A245" s="8" t="s">
        <v>459</v>
      </c>
      <c r="B245" s="48" t="s">
        <v>415</v>
      </c>
      <c r="C245" s="26" t="s">
        <v>32</v>
      </c>
      <c r="D245" s="31" t="s">
        <v>41</v>
      </c>
      <c r="E245" s="20">
        <f>SUM(F245:I245)</f>
        <v>3030.3</v>
      </c>
      <c r="F245" s="38">
        <f>K245+P245+U245</f>
        <v>0</v>
      </c>
      <c r="G245" s="38">
        <f>L245+Q245+V245+AA245+AF245+AK245</f>
        <v>0</v>
      </c>
      <c r="H245" s="38">
        <f>M245+R245+W245+AB245+AG245+AL245</f>
        <v>3000</v>
      </c>
      <c r="I245" s="38">
        <f>N245+S245+X245+AC245+AH245+AM245</f>
        <v>30.299999999999997</v>
      </c>
      <c r="J245" s="18">
        <f>SUM(K245:N245)</f>
        <v>0</v>
      </c>
      <c r="K245" s="19">
        <v>0</v>
      </c>
      <c r="L245" s="38">
        <v>0</v>
      </c>
      <c r="M245" s="19">
        <v>0</v>
      </c>
      <c r="N245" s="38">
        <v>0</v>
      </c>
      <c r="O245" s="18">
        <f>SUM(P245:S245)</f>
        <v>3030.3</v>
      </c>
      <c r="P245" s="19">
        <v>0</v>
      </c>
      <c r="Q245" s="38">
        <v>0</v>
      </c>
      <c r="R245" s="38">
        <f>4393.7-1393.7</f>
        <v>3000</v>
      </c>
      <c r="S245" s="38">
        <f>44.4-14.1</f>
        <v>30.299999999999997</v>
      </c>
      <c r="T245" s="18">
        <f>SUM(U245:X245)</f>
        <v>0</v>
      </c>
      <c r="U245" s="19">
        <v>0</v>
      </c>
      <c r="V245" s="38">
        <v>0</v>
      </c>
      <c r="W245" s="38">
        <v>0</v>
      </c>
      <c r="X245" s="38">
        <v>0</v>
      </c>
      <c r="Y245" s="18">
        <f>SUM(Z245:AC245)</f>
        <v>0</v>
      </c>
      <c r="Z245" s="19">
        <v>0</v>
      </c>
      <c r="AA245" s="38">
        <v>0</v>
      </c>
      <c r="AB245" s="38">
        <v>0</v>
      </c>
      <c r="AC245" s="38">
        <v>0</v>
      </c>
      <c r="AD245" s="38">
        <f>SUM(AF245:AH245)</f>
        <v>0</v>
      </c>
      <c r="AE245" s="19">
        <v>0</v>
      </c>
      <c r="AF245" s="38">
        <v>0</v>
      </c>
      <c r="AG245" s="38">
        <v>0</v>
      </c>
      <c r="AH245" s="38">
        <v>0</v>
      </c>
      <c r="AI245" s="38">
        <f>SUM(AK245:AM245)</f>
        <v>0</v>
      </c>
      <c r="AJ245" s="19">
        <v>0</v>
      </c>
      <c r="AK245" s="38">
        <v>0</v>
      </c>
      <c r="AL245" s="38">
        <v>0</v>
      </c>
      <c r="AM245" s="38">
        <v>0</v>
      </c>
    </row>
    <row r="246" spans="1:39" s="2" customFormat="1" ht="63" outlineLevel="2" x14ac:dyDescent="0.25">
      <c r="A246" s="8" t="s">
        <v>460</v>
      </c>
      <c r="B246" s="48" t="s">
        <v>416</v>
      </c>
      <c r="C246" s="26" t="s">
        <v>32</v>
      </c>
      <c r="D246" s="31" t="s">
        <v>41</v>
      </c>
      <c r="E246" s="20">
        <f>SUM(F246:I246)</f>
        <v>2052.1999999999998</v>
      </c>
      <c r="F246" s="38">
        <f>K246+P246+U246</f>
        <v>0</v>
      </c>
      <c r="G246" s="38">
        <f t="shared" ref="G246:I247" si="361">L246+Q246+V246+AA246+AF246+AK246</f>
        <v>0</v>
      </c>
      <c r="H246" s="38">
        <f t="shared" si="361"/>
        <v>2031.7</v>
      </c>
      <c r="I246" s="38">
        <f t="shared" si="361"/>
        <v>20.5</v>
      </c>
      <c r="J246" s="18">
        <f>SUM(K246:N246)</f>
        <v>0</v>
      </c>
      <c r="K246" s="19">
        <v>0</v>
      </c>
      <c r="L246" s="38">
        <v>0</v>
      </c>
      <c r="M246" s="19">
        <v>0</v>
      </c>
      <c r="N246" s="38">
        <v>0</v>
      </c>
      <c r="O246" s="18">
        <f>SUM(P246:S246)</f>
        <v>0</v>
      </c>
      <c r="P246" s="19">
        <v>0</v>
      </c>
      <c r="Q246" s="38">
        <v>0</v>
      </c>
      <c r="R246" s="38">
        <f>2031.7-2031.7</f>
        <v>0</v>
      </c>
      <c r="S246" s="38">
        <f>20.5-20.5</f>
        <v>0</v>
      </c>
      <c r="T246" s="18">
        <f>SUM(U246:X246)</f>
        <v>2052.1999999999998</v>
      </c>
      <c r="U246" s="19">
        <v>0</v>
      </c>
      <c r="V246" s="38">
        <v>0</v>
      </c>
      <c r="W246" s="38">
        <v>2031.7</v>
      </c>
      <c r="X246" s="38">
        <v>20.5</v>
      </c>
      <c r="Y246" s="18">
        <f>SUM(Z246:AC246)</f>
        <v>0</v>
      </c>
      <c r="Z246" s="19">
        <v>0</v>
      </c>
      <c r="AA246" s="38">
        <v>0</v>
      </c>
      <c r="AB246" s="38">
        <v>0</v>
      </c>
      <c r="AC246" s="38">
        <v>0</v>
      </c>
      <c r="AD246" s="38">
        <f>SUM(AF246:AH246)</f>
        <v>0</v>
      </c>
      <c r="AE246" s="19">
        <v>0</v>
      </c>
      <c r="AF246" s="38">
        <v>0</v>
      </c>
      <c r="AG246" s="38">
        <v>0</v>
      </c>
      <c r="AH246" s="38">
        <v>0</v>
      </c>
      <c r="AI246" s="38">
        <f>SUM(AK246:AM246)</f>
        <v>0</v>
      </c>
      <c r="AJ246" s="19">
        <v>0</v>
      </c>
      <c r="AK246" s="38">
        <v>0</v>
      </c>
      <c r="AL246" s="38">
        <v>0</v>
      </c>
      <c r="AM246" s="38">
        <v>0</v>
      </c>
    </row>
    <row r="247" spans="1:39" s="2" customFormat="1" ht="63" outlineLevel="2" x14ac:dyDescent="0.25">
      <c r="A247" s="8" t="s">
        <v>871</v>
      </c>
      <c r="B247" s="25" t="s">
        <v>426</v>
      </c>
      <c r="C247" s="26" t="s">
        <v>32</v>
      </c>
      <c r="D247" s="31" t="s">
        <v>41</v>
      </c>
      <c r="E247" s="20">
        <f>SUM(F247:I247)</f>
        <v>6407.5</v>
      </c>
      <c r="F247" s="38">
        <f>K247+P247+U247</f>
        <v>0</v>
      </c>
      <c r="G247" s="38">
        <f t="shared" si="361"/>
        <v>0</v>
      </c>
      <c r="H247" s="38">
        <f t="shared" si="361"/>
        <v>6343.4</v>
      </c>
      <c r="I247" s="38">
        <f t="shared" si="361"/>
        <v>64.099999999999994</v>
      </c>
      <c r="J247" s="18">
        <f>SUM(K247:N247)</f>
        <v>4913.1000000000004</v>
      </c>
      <c r="K247" s="19">
        <v>0</v>
      </c>
      <c r="L247" s="38">
        <v>0</v>
      </c>
      <c r="M247" s="19">
        <v>4864</v>
      </c>
      <c r="N247" s="38">
        <v>49.1</v>
      </c>
      <c r="O247" s="18">
        <f>SUM(P247:S247)</f>
        <v>1494.4</v>
      </c>
      <c r="P247" s="19">
        <v>0</v>
      </c>
      <c r="Q247" s="38">
        <v>0</v>
      </c>
      <c r="R247" s="38">
        <v>1479.4</v>
      </c>
      <c r="S247" s="38">
        <v>15</v>
      </c>
      <c r="T247" s="18">
        <f>SUM(U247:X247)</f>
        <v>0</v>
      </c>
      <c r="U247" s="19">
        <v>0</v>
      </c>
      <c r="V247" s="38">
        <v>0</v>
      </c>
      <c r="W247" s="38">
        <v>0</v>
      </c>
      <c r="X247" s="38">
        <v>0</v>
      </c>
      <c r="Y247" s="18">
        <f>SUM(Z247:AC247)</f>
        <v>0</v>
      </c>
      <c r="Z247" s="19">
        <v>0</v>
      </c>
      <c r="AA247" s="38">
        <v>0</v>
      </c>
      <c r="AB247" s="38">
        <v>0</v>
      </c>
      <c r="AC247" s="38">
        <v>0</v>
      </c>
      <c r="AD247" s="38">
        <f>SUM(AF247:AH247)</f>
        <v>0</v>
      </c>
      <c r="AE247" s="19">
        <v>0</v>
      </c>
      <c r="AF247" s="38">
        <v>0</v>
      </c>
      <c r="AG247" s="38">
        <v>0</v>
      </c>
      <c r="AH247" s="38">
        <v>0</v>
      </c>
      <c r="AI247" s="38">
        <f>SUM(AK247:AM247)</f>
        <v>0</v>
      </c>
      <c r="AJ247" s="19">
        <v>0</v>
      </c>
      <c r="AK247" s="38">
        <v>0</v>
      </c>
      <c r="AL247" s="38">
        <v>0</v>
      </c>
      <c r="AM247" s="38">
        <v>0</v>
      </c>
    </row>
    <row r="248" spans="1:39" s="2" customFormat="1" ht="42" customHeight="1" outlineLevel="2" x14ac:dyDescent="0.25">
      <c r="A248" s="165" t="s">
        <v>846</v>
      </c>
      <c r="B248" s="194" t="s">
        <v>845</v>
      </c>
      <c r="C248" s="195"/>
      <c r="D248" s="195"/>
      <c r="E248" s="20">
        <f>SUM(E249:E250)</f>
        <v>32485.7</v>
      </c>
      <c r="F248" s="20">
        <f t="shared" ref="F248:AM248" si="362">SUM(F249:F250)</f>
        <v>0</v>
      </c>
      <c r="G248" s="20">
        <f t="shared" si="362"/>
        <v>0</v>
      </c>
      <c r="H248" s="20">
        <f t="shared" si="362"/>
        <v>32160.799999999999</v>
      </c>
      <c r="I248" s="20">
        <f t="shared" si="362"/>
        <v>324.89999999999998</v>
      </c>
      <c r="J248" s="20">
        <f t="shared" si="362"/>
        <v>0</v>
      </c>
      <c r="K248" s="20">
        <f t="shared" si="362"/>
        <v>0</v>
      </c>
      <c r="L248" s="20">
        <f t="shared" si="362"/>
        <v>0</v>
      </c>
      <c r="M248" s="20">
        <f t="shared" si="362"/>
        <v>0</v>
      </c>
      <c r="N248" s="20">
        <f t="shared" si="362"/>
        <v>0</v>
      </c>
      <c r="O248" s="20">
        <f t="shared" si="362"/>
        <v>0</v>
      </c>
      <c r="P248" s="20">
        <f t="shared" si="362"/>
        <v>0</v>
      </c>
      <c r="Q248" s="20">
        <f t="shared" si="362"/>
        <v>0</v>
      </c>
      <c r="R248" s="20">
        <f t="shared" si="362"/>
        <v>0</v>
      </c>
      <c r="S248" s="20">
        <f t="shared" si="362"/>
        <v>0</v>
      </c>
      <c r="T248" s="20">
        <f t="shared" si="362"/>
        <v>32485.7</v>
      </c>
      <c r="U248" s="20">
        <f t="shared" si="362"/>
        <v>0</v>
      </c>
      <c r="V248" s="20">
        <f t="shared" si="362"/>
        <v>0</v>
      </c>
      <c r="W248" s="20">
        <f t="shared" si="362"/>
        <v>32160.799999999999</v>
      </c>
      <c r="X248" s="20">
        <f t="shared" si="362"/>
        <v>324.89999999999998</v>
      </c>
      <c r="Y248" s="20">
        <f t="shared" si="362"/>
        <v>0</v>
      </c>
      <c r="Z248" s="20">
        <f t="shared" si="362"/>
        <v>0</v>
      </c>
      <c r="AA248" s="20">
        <f t="shared" si="362"/>
        <v>0</v>
      </c>
      <c r="AB248" s="20">
        <f t="shared" si="362"/>
        <v>0</v>
      </c>
      <c r="AC248" s="20">
        <f t="shared" si="362"/>
        <v>0</v>
      </c>
      <c r="AD248" s="20">
        <f t="shared" si="362"/>
        <v>0</v>
      </c>
      <c r="AE248" s="20">
        <f t="shared" si="362"/>
        <v>0</v>
      </c>
      <c r="AF248" s="20">
        <f t="shared" si="362"/>
        <v>0</v>
      </c>
      <c r="AG248" s="20">
        <f t="shared" si="362"/>
        <v>0</v>
      </c>
      <c r="AH248" s="20">
        <f t="shared" si="362"/>
        <v>0</v>
      </c>
      <c r="AI248" s="20">
        <f t="shared" si="362"/>
        <v>0</v>
      </c>
      <c r="AJ248" s="20">
        <f t="shared" si="362"/>
        <v>0</v>
      </c>
      <c r="AK248" s="20">
        <f t="shared" si="362"/>
        <v>0</v>
      </c>
      <c r="AL248" s="20">
        <f t="shared" si="362"/>
        <v>0</v>
      </c>
      <c r="AM248" s="20">
        <f t="shared" si="362"/>
        <v>0</v>
      </c>
    </row>
    <row r="249" spans="1:39" s="2" customFormat="1" ht="47.25" outlineLevel="2" x14ac:dyDescent="0.25">
      <c r="A249" s="8" t="s">
        <v>847</v>
      </c>
      <c r="B249" s="103" t="s">
        <v>770</v>
      </c>
      <c r="C249" s="26" t="s">
        <v>32</v>
      </c>
      <c r="D249" s="31" t="s">
        <v>41</v>
      </c>
      <c r="E249" s="20">
        <f>SUM(F249:I249)</f>
        <v>2172.5</v>
      </c>
      <c r="F249" s="38"/>
      <c r="G249" s="38">
        <f t="shared" ref="G249:I250" si="363">L249+Q249+V249+AA249+AF249+AK249</f>
        <v>0</v>
      </c>
      <c r="H249" s="38">
        <f t="shared" si="363"/>
        <v>2150.8000000000002</v>
      </c>
      <c r="I249" s="38">
        <f t="shared" si="363"/>
        <v>21.700000000000003</v>
      </c>
      <c r="J249" s="18">
        <f>SUM(K249:N249)</f>
        <v>0</v>
      </c>
      <c r="K249" s="19">
        <v>0</v>
      </c>
      <c r="L249" s="38">
        <v>0</v>
      </c>
      <c r="M249" s="19">
        <v>0</v>
      </c>
      <c r="N249" s="38">
        <v>0</v>
      </c>
      <c r="O249" s="18">
        <f>SUM(P249:S249)</f>
        <v>0</v>
      </c>
      <c r="P249" s="19">
        <v>0</v>
      </c>
      <c r="Q249" s="38">
        <v>0</v>
      </c>
      <c r="R249" s="38">
        <v>0</v>
      </c>
      <c r="S249" s="38">
        <v>0</v>
      </c>
      <c r="T249" s="18">
        <f>SUM(U249:X249)</f>
        <v>2172.5</v>
      </c>
      <c r="U249" s="19">
        <v>0</v>
      </c>
      <c r="V249" s="38">
        <v>0</v>
      </c>
      <c r="W249" s="38">
        <f>2537.9-387.1</f>
        <v>2150.8000000000002</v>
      </c>
      <c r="X249" s="38">
        <f>25.6-3.9</f>
        <v>21.700000000000003</v>
      </c>
      <c r="Y249" s="38">
        <f>AB249+AC249</f>
        <v>0</v>
      </c>
      <c r="Z249" s="19"/>
      <c r="AA249" s="38">
        <v>0</v>
      </c>
      <c r="AB249" s="38">
        <v>0</v>
      </c>
      <c r="AC249" s="38">
        <v>0</v>
      </c>
      <c r="AD249" s="38">
        <f>SUM(AF249:AH249)</f>
        <v>0</v>
      </c>
      <c r="AE249" s="19">
        <v>0</v>
      </c>
      <c r="AF249" s="38">
        <v>0</v>
      </c>
      <c r="AG249" s="38">
        <v>0</v>
      </c>
      <c r="AH249" s="38">
        <v>0</v>
      </c>
      <c r="AI249" s="38">
        <f>SUM(AK249:AM249)</f>
        <v>0</v>
      </c>
      <c r="AJ249" s="19">
        <v>0</v>
      </c>
      <c r="AK249" s="38">
        <v>0</v>
      </c>
      <c r="AL249" s="38">
        <v>0</v>
      </c>
      <c r="AM249" s="38">
        <v>0</v>
      </c>
    </row>
    <row r="250" spans="1:39" s="2" customFormat="1" ht="47.25" outlineLevel="2" x14ac:dyDescent="0.25">
      <c r="A250" s="8" t="s">
        <v>848</v>
      </c>
      <c r="B250" s="103" t="s">
        <v>782</v>
      </c>
      <c r="C250" s="26" t="s">
        <v>32</v>
      </c>
      <c r="D250" s="31" t="s">
        <v>41</v>
      </c>
      <c r="E250" s="20">
        <f>SUM(F250:I250)</f>
        <v>30313.200000000001</v>
      </c>
      <c r="F250" s="38"/>
      <c r="G250" s="38">
        <f t="shared" si="363"/>
        <v>0</v>
      </c>
      <c r="H250" s="38">
        <f t="shared" si="363"/>
        <v>30010</v>
      </c>
      <c r="I250" s="38">
        <f t="shared" si="363"/>
        <v>303.2</v>
      </c>
      <c r="J250" s="18">
        <f>SUM(K250:N250)</f>
        <v>0</v>
      </c>
      <c r="K250" s="19">
        <v>0</v>
      </c>
      <c r="L250" s="38">
        <v>0</v>
      </c>
      <c r="M250" s="19">
        <v>0</v>
      </c>
      <c r="N250" s="38">
        <v>0</v>
      </c>
      <c r="O250" s="18">
        <f>SUM(P250:S250)</f>
        <v>0</v>
      </c>
      <c r="P250" s="19">
        <v>0</v>
      </c>
      <c r="Q250" s="38">
        <v>0</v>
      </c>
      <c r="R250" s="38">
        <v>0</v>
      </c>
      <c r="S250" s="38">
        <v>0</v>
      </c>
      <c r="T250" s="18">
        <f>SUM(U250:X250)</f>
        <v>30313.200000000001</v>
      </c>
      <c r="U250" s="19">
        <v>0</v>
      </c>
      <c r="V250" s="38">
        <v>0</v>
      </c>
      <c r="W250" s="38">
        <v>30010</v>
      </c>
      <c r="X250" s="38">
        <v>303.2</v>
      </c>
      <c r="Y250" s="38">
        <f>AB250+AC250</f>
        <v>0</v>
      </c>
      <c r="Z250" s="19"/>
      <c r="AA250" s="38">
        <v>0</v>
      </c>
      <c r="AB250" s="38">
        <v>0</v>
      </c>
      <c r="AC250" s="38">
        <v>0</v>
      </c>
      <c r="AD250" s="38">
        <f>SUM(AF250:AH250)</f>
        <v>0</v>
      </c>
      <c r="AE250" s="19">
        <v>0</v>
      </c>
      <c r="AF250" s="38">
        <v>0</v>
      </c>
      <c r="AG250" s="38">
        <v>0</v>
      </c>
      <c r="AH250" s="38">
        <v>0</v>
      </c>
      <c r="AI250" s="38">
        <f>SUM(AK250:AM250)</f>
        <v>0</v>
      </c>
      <c r="AJ250" s="19">
        <v>0</v>
      </c>
      <c r="AK250" s="38">
        <v>0</v>
      </c>
      <c r="AL250" s="38">
        <v>0</v>
      </c>
      <c r="AM250" s="38">
        <v>0</v>
      </c>
    </row>
    <row r="251" spans="1:39" s="5" customFormat="1" ht="43.5" customHeight="1" x14ac:dyDescent="0.25">
      <c r="A251" s="165">
        <v>4</v>
      </c>
      <c r="B251" s="192" t="s">
        <v>4</v>
      </c>
      <c r="C251" s="193"/>
      <c r="D251" s="193"/>
      <c r="E251" s="18">
        <f>E252+E280</f>
        <v>342072.2</v>
      </c>
      <c r="F251" s="18">
        <f t="shared" ref="F251:AM251" si="364">F252+F280</f>
        <v>0</v>
      </c>
      <c r="G251" s="18">
        <f t="shared" si="364"/>
        <v>54062.899999999994</v>
      </c>
      <c r="H251" s="18">
        <f t="shared" si="364"/>
        <v>286880.5</v>
      </c>
      <c r="I251" s="18">
        <f t="shared" si="364"/>
        <v>1128.8000000000002</v>
      </c>
      <c r="J251" s="18">
        <f t="shared" si="364"/>
        <v>117589.90000000002</v>
      </c>
      <c r="K251" s="18">
        <f t="shared" si="364"/>
        <v>0</v>
      </c>
      <c r="L251" s="18">
        <f t="shared" si="364"/>
        <v>10000</v>
      </c>
      <c r="M251" s="18">
        <f t="shared" si="364"/>
        <v>107159.80000000002</v>
      </c>
      <c r="N251" s="18">
        <f t="shared" si="364"/>
        <v>430.1</v>
      </c>
      <c r="O251" s="18">
        <f t="shared" si="364"/>
        <v>124278.2</v>
      </c>
      <c r="P251" s="18">
        <f t="shared" si="364"/>
        <v>0</v>
      </c>
      <c r="Q251" s="18">
        <f t="shared" si="364"/>
        <v>10000</v>
      </c>
      <c r="R251" s="18">
        <f t="shared" si="364"/>
        <v>114217.59999999999</v>
      </c>
      <c r="S251" s="18">
        <f t="shared" si="364"/>
        <v>60.6</v>
      </c>
      <c r="T251" s="18">
        <f t="shared" si="364"/>
        <v>30490</v>
      </c>
      <c r="U251" s="18">
        <f t="shared" si="364"/>
        <v>0</v>
      </c>
      <c r="V251" s="18">
        <f t="shared" si="364"/>
        <v>12207.7</v>
      </c>
      <c r="W251" s="18">
        <f t="shared" si="364"/>
        <v>18127</v>
      </c>
      <c r="X251" s="18">
        <f t="shared" si="364"/>
        <v>155.30000000000001</v>
      </c>
      <c r="Y251" s="18">
        <f>Y252+Y280</f>
        <v>52330.499999999993</v>
      </c>
      <c r="Z251" s="18">
        <f t="shared" si="364"/>
        <v>0</v>
      </c>
      <c r="AA251" s="18">
        <f t="shared" si="364"/>
        <v>21855.200000000001</v>
      </c>
      <c r="AB251" s="18">
        <f t="shared" si="364"/>
        <v>29992.499999999996</v>
      </c>
      <c r="AC251" s="18">
        <f t="shared" si="364"/>
        <v>482.8</v>
      </c>
      <c r="AD251" s="18">
        <f t="shared" si="364"/>
        <v>16474.7</v>
      </c>
      <c r="AE251" s="18">
        <f t="shared" si="364"/>
        <v>0</v>
      </c>
      <c r="AF251" s="18">
        <f t="shared" si="364"/>
        <v>0</v>
      </c>
      <c r="AG251" s="18">
        <f t="shared" si="364"/>
        <v>16474.7</v>
      </c>
      <c r="AH251" s="18">
        <f t="shared" si="364"/>
        <v>0</v>
      </c>
      <c r="AI251" s="18">
        <f>AI252+AI280</f>
        <v>908.90000000000009</v>
      </c>
      <c r="AJ251" s="18">
        <f t="shared" si="364"/>
        <v>0</v>
      </c>
      <c r="AK251" s="18">
        <f t="shared" si="364"/>
        <v>0</v>
      </c>
      <c r="AL251" s="18">
        <f t="shared" si="364"/>
        <v>908.90000000000009</v>
      </c>
      <c r="AM251" s="18">
        <f t="shared" si="364"/>
        <v>0</v>
      </c>
    </row>
    <row r="252" spans="1:39" s="5" customFormat="1" ht="40.5" customHeight="1" outlineLevel="1" x14ac:dyDescent="0.25">
      <c r="A252" s="165" t="s">
        <v>184</v>
      </c>
      <c r="B252" s="194" t="s">
        <v>15</v>
      </c>
      <c r="C252" s="195"/>
      <c r="D252" s="195"/>
      <c r="E252" s="18">
        <f>SUM(E253:E279)</f>
        <v>227254.5</v>
      </c>
      <c r="F252" s="18">
        <f t="shared" ref="F252:AM252" si="365">SUM(F253:F279)</f>
        <v>0</v>
      </c>
      <c r="G252" s="18">
        <f t="shared" si="365"/>
        <v>0</v>
      </c>
      <c r="H252" s="18">
        <f t="shared" si="365"/>
        <v>227168.00000000003</v>
      </c>
      <c r="I252" s="18">
        <f t="shared" si="365"/>
        <v>86.5</v>
      </c>
      <c r="J252" s="18">
        <f t="shared" si="365"/>
        <v>79961.000000000029</v>
      </c>
      <c r="K252" s="18">
        <f t="shared" si="365"/>
        <v>0</v>
      </c>
      <c r="L252" s="18">
        <f t="shared" si="365"/>
        <v>0</v>
      </c>
      <c r="M252" s="18">
        <f t="shared" si="365"/>
        <v>79879.000000000015</v>
      </c>
      <c r="N252" s="18">
        <f t="shared" si="365"/>
        <v>82</v>
      </c>
      <c r="O252" s="18">
        <f t="shared" si="365"/>
        <v>111851.9</v>
      </c>
      <c r="P252" s="18">
        <f t="shared" si="365"/>
        <v>0</v>
      </c>
      <c r="Q252" s="18">
        <f t="shared" si="365"/>
        <v>0</v>
      </c>
      <c r="R252" s="18">
        <f t="shared" si="365"/>
        <v>111847.4</v>
      </c>
      <c r="S252" s="18">
        <f t="shared" si="365"/>
        <v>4.5</v>
      </c>
      <c r="T252" s="18">
        <f t="shared" si="365"/>
        <v>16617.899999999998</v>
      </c>
      <c r="U252" s="18">
        <f t="shared" si="365"/>
        <v>0</v>
      </c>
      <c r="V252" s="18">
        <f t="shared" si="365"/>
        <v>0</v>
      </c>
      <c r="W252" s="18">
        <f t="shared" si="365"/>
        <v>16617.899999999998</v>
      </c>
      <c r="X252" s="18">
        <f t="shared" si="365"/>
        <v>0</v>
      </c>
      <c r="Y252" s="18">
        <f t="shared" si="365"/>
        <v>3223</v>
      </c>
      <c r="Z252" s="18">
        <f t="shared" si="365"/>
        <v>0</v>
      </c>
      <c r="AA252" s="18">
        <f t="shared" si="365"/>
        <v>0</v>
      </c>
      <c r="AB252" s="18">
        <f>SUM(AB253:AB279)</f>
        <v>3223</v>
      </c>
      <c r="AC252" s="18">
        <f t="shared" si="365"/>
        <v>0</v>
      </c>
      <c r="AD252" s="18">
        <f t="shared" si="365"/>
        <v>15600.699999999999</v>
      </c>
      <c r="AE252" s="18">
        <f t="shared" si="365"/>
        <v>0</v>
      </c>
      <c r="AF252" s="18">
        <f t="shared" si="365"/>
        <v>0</v>
      </c>
      <c r="AG252" s="18">
        <f t="shared" si="365"/>
        <v>15600.699999999999</v>
      </c>
      <c r="AH252" s="18">
        <f t="shared" si="365"/>
        <v>0</v>
      </c>
      <c r="AI252" s="18">
        <f t="shared" si="365"/>
        <v>0</v>
      </c>
      <c r="AJ252" s="18">
        <f t="shared" si="365"/>
        <v>0</v>
      </c>
      <c r="AK252" s="18">
        <f t="shared" si="365"/>
        <v>0</v>
      </c>
      <c r="AL252" s="18">
        <f t="shared" si="365"/>
        <v>0</v>
      </c>
      <c r="AM252" s="18">
        <f t="shared" si="365"/>
        <v>0</v>
      </c>
    </row>
    <row r="253" spans="1:39" s="2" customFormat="1" ht="110.25" outlineLevel="2" x14ac:dyDescent="0.25">
      <c r="A253" s="8" t="s">
        <v>89</v>
      </c>
      <c r="B253" s="32" t="s">
        <v>16</v>
      </c>
      <c r="C253" s="26" t="s">
        <v>32</v>
      </c>
      <c r="D253" s="26" t="s">
        <v>376</v>
      </c>
      <c r="E253" s="20">
        <f t="shared" ref="E253:E265" si="366">SUM(F253:I253)</f>
        <v>162457.09999999998</v>
      </c>
      <c r="F253" s="38">
        <f t="shared" ref="F253:F262" si="367">K253+P253+U253</f>
        <v>0</v>
      </c>
      <c r="G253" s="38">
        <f>L253+Q253+V253+AA253+AF253+AK253</f>
        <v>0</v>
      </c>
      <c r="H253" s="38">
        <f>M253+R253+W253+AB253+AG253+AL253</f>
        <v>162457.09999999998</v>
      </c>
      <c r="I253" s="38">
        <f t="shared" ref="I253:I273" si="368">N253+S253+X253+AC253+AH253+AM253</f>
        <v>0</v>
      </c>
      <c r="J253" s="18">
        <f t="shared" ref="J253:J273" si="369">SUM(K253:N253)</f>
        <v>58219</v>
      </c>
      <c r="K253" s="19">
        <v>0</v>
      </c>
      <c r="L253" s="38">
        <v>0</v>
      </c>
      <c r="M253" s="19">
        <f>127705-69486</f>
        <v>58219</v>
      </c>
      <c r="N253" s="38">
        <v>0</v>
      </c>
      <c r="O253" s="18">
        <f>SUM(Q253:S253)</f>
        <v>95720.3</v>
      </c>
      <c r="P253" s="19">
        <v>0</v>
      </c>
      <c r="Q253" s="38">
        <v>0</v>
      </c>
      <c r="R253" s="19">
        <f>69486+34752-8517.7</f>
        <v>95720.3</v>
      </c>
      <c r="S253" s="38">
        <v>0</v>
      </c>
      <c r="T253" s="18">
        <f t="shared" ref="T253:T273" si="370">SUM(U253:X253)</f>
        <v>8517.7999999999993</v>
      </c>
      <c r="U253" s="19">
        <v>0</v>
      </c>
      <c r="V253" s="38">
        <v>0</v>
      </c>
      <c r="W253" s="38">
        <v>8517.7999999999993</v>
      </c>
      <c r="X253" s="38">
        <v>0</v>
      </c>
      <c r="Y253" s="18">
        <f t="shared" ref="Y253:Y273" si="371">SUM(Z253:AC253)</f>
        <v>0</v>
      </c>
      <c r="Z253" s="19">
        <v>0</v>
      </c>
      <c r="AA253" s="38">
        <v>0</v>
      </c>
      <c r="AB253" s="38">
        <v>0</v>
      </c>
      <c r="AC253" s="38">
        <v>0</v>
      </c>
      <c r="AD253" s="18">
        <f t="shared" ref="AD253:AD273" si="372">SUM(AE253:AH253)</f>
        <v>0</v>
      </c>
      <c r="AE253" s="19">
        <v>0</v>
      </c>
      <c r="AF253" s="38">
        <v>0</v>
      </c>
      <c r="AG253" s="38">
        <v>0</v>
      </c>
      <c r="AH253" s="38">
        <v>0</v>
      </c>
      <c r="AI253" s="18">
        <f t="shared" ref="AI253:AI273" si="373">SUM(AJ253:AM253)</f>
        <v>0</v>
      </c>
      <c r="AJ253" s="19">
        <v>0</v>
      </c>
      <c r="AK253" s="38">
        <v>0</v>
      </c>
      <c r="AL253" s="38">
        <v>0</v>
      </c>
      <c r="AM253" s="38">
        <v>0</v>
      </c>
    </row>
    <row r="254" spans="1:39" s="2" customFormat="1" ht="63" outlineLevel="2" x14ac:dyDescent="0.25">
      <c r="A254" s="8" t="s">
        <v>90</v>
      </c>
      <c r="B254" s="32" t="s">
        <v>563</v>
      </c>
      <c r="C254" s="26" t="s">
        <v>32</v>
      </c>
      <c r="D254" s="26" t="s">
        <v>118</v>
      </c>
      <c r="E254" s="20">
        <f>SUM(F254:I254)</f>
        <v>1264.2</v>
      </c>
      <c r="F254" s="38">
        <f>K254+P254+U254</f>
        <v>0</v>
      </c>
      <c r="G254" s="38">
        <f>L254+Q254+V254+AA254+AF254+AK254</f>
        <v>0</v>
      </c>
      <c r="H254" s="38">
        <f>M254+R254+W254+AB254+AG254+AL254</f>
        <v>1264.2</v>
      </c>
      <c r="I254" s="38">
        <f>N254+S254+X254+AC254+AH254+AM254</f>
        <v>0</v>
      </c>
      <c r="J254" s="18">
        <f>SUM(K254:N254)</f>
        <v>0</v>
      </c>
      <c r="K254" s="19">
        <v>0</v>
      </c>
      <c r="L254" s="38">
        <v>0</v>
      </c>
      <c r="M254" s="19">
        <v>0</v>
      </c>
      <c r="N254" s="38">
        <v>0</v>
      </c>
      <c r="O254" s="18">
        <f>SUM(Q254:S254)</f>
        <v>1264.2</v>
      </c>
      <c r="P254" s="19">
        <v>0</v>
      </c>
      <c r="Q254" s="38">
        <v>0</v>
      </c>
      <c r="R254" s="19">
        <v>1264.2</v>
      </c>
      <c r="S254" s="38">
        <v>0</v>
      </c>
      <c r="T254" s="18">
        <f>SUM(U254:X254)</f>
        <v>0</v>
      </c>
      <c r="U254" s="19">
        <v>0</v>
      </c>
      <c r="V254" s="38">
        <v>0</v>
      </c>
      <c r="W254" s="38">
        <v>0</v>
      </c>
      <c r="X254" s="38">
        <v>0</v>
      </c>
      <c r="Y254" s="18">
        <f>SUM(Z254:AC254)</f>
        <v>0</v>
      </c>
      <c r="Z254" s="19">
        <v>0</v>
      </c>
      <c r="AA254" s="38">
        <v>0</v>
      </c>
      <c r="AB254" s="38">
        <v>0</v>
      </c>
      <c r="AC254" s="38">
        <v>0</v>
      </c>
      <c r="AD254" s="18">
        <f>SUM(AE254:AH254)</f>
        <v>0</v>
      </c>
      <c r="AE254" s="19">
        <v>0</v>
      </c>
      <c r="AF254" s="38">
        <v>0</v>
      </c>
      <c r="AG254" s="38">
        <v>0</v>
      </c>
      <c r="AH254" s="38">
        <v>0</v>
      </c>
      <c r="AI254" s="18">
        <f>SUM(AJ254:AM254)</f>
        <v>0</v>
      </c>
      <c r="AJ254" s="19">
        <v>0</v>
      </c>
      <c r="AK254" s="38">
        <v>0</v>
      </c>
      <c r="AL254" s="38">
        <v>0</v>
      </c>
      <c r="AM254" s="38">
        <v>0</v>
      </c>
    </row>
    <row r="255" spans="1:39" s="2" customFormat="1" ht="47.25" outlineLevel="2" x14ac:dyDescent="0.25">
      <c r="A255" s="8" t="s">
        <v>91</v>
      </c>
      <c r="B255" s="32" t="s">
        <v>17</v>
      </c>
      <c r="C255" s="26" t="s">
        <v>31</v>
      </c>
      <c r="D255" s="26" t="s">
        <v>8</v>
      </c>
      <c r="E255" s="20">
        <f t="shared" si="366"/>
        <v>1374.4</v>
      </c>
      <c r="F255" s="38">
        <f t="shared" si="367"/>
        <v>0</v>
      </c>
      <c r="G255" s="38">
        <f t="shared" ref="G255:G273" si="374">L255+Q255+V255+AA255+AF255+AK255</f>
        <v>0</v>
      </c>
      <c r="H255" s="38">
        <f t="shared" ref="H255:H273" si="375">M255+R255+W255+AB255+AG255+AL255</f>
        <v>1374.4</v>
      </c>
      <c r="I255" s="38">
        <f t="shared" si="368"/>
        <v>0</v>
      </c>
      <c r="J255" s="18">
        <f t="shared" si="369"/>
        <v>1374.4</v>
      </c>
      <c r="K255" s="19">
        <v>0</v>
      </c>
      <c r="L255" s="38">
        <v>0</v>
      </c>
      <c r="M255" s="19">
        <v>1374.4</v>
      </c>
      <c r="N255" s="38">
        <v>0</v>
      </c>
      <c r="O255" s="18">
        <f t="shared" ref="O255:O273" si="376">SUM(Q255:S255)</f>
        <v>0</v>
      </c>
      <c r="P255" s="19">
        <v>0</v>
      </c>
      <c r="Q255" s="38">
        <v>0</v>
      </c>
      <c r="R255" s="19">
        <v>0</v>
      </c>
      <c r="S255" s="38">
        <v>0</v>
      </c>
      <c r="T255" s="18">
        <f t="shared" si="370"/>
        <v>0</v>
      </c>
      <c r="U255" s="19">
        <v>0</v>
      </c>
      <c r="V255" s="38">
        <v>0</v>
      </c>
      <c r="W255" s="38">
        <v>0</v>
      </c>
      <c r="X255" s="38">
        <v>0</v>
      </c>
      <c r="Y255" s="18">
        <f t="shared" si="371"/>
        <v>0</v>
      </c>
      <c r="Z255" s="19">
        <v>0</v>
      </c>
      <c r="AA255" s="38">
        <v>0</v>
      </c>
      <c r="AB255" s="38">
        <v>0</v>
      </c>
      <c r="AC255" s="38">
        <v>0</v>
      </c>
      <c r="AD255" s="18">
        <f t="shared" si="372"/>
        <v>0</v>
      </c>
      <c r="AE255" s="19">
        <v>0</v>
      </c>
      <c r="AF255" s="38">
        <v>0</v>
      </c>
      <c r="AG255" s="38">
        <v>0</v>
      </c>
      <c r="AH255" s="38">
        <v>0</v>
      </c>
      <c r="AI255" s="18">
        <f t="shared" si="373"/>
        <v>0</v>
      </c>
      <c r="AJ255" s="19">
        <v>0</v>
      </c>
      <c r="AK255" s="38">
        <v>0</v>
      </c>
      <c r="AL255" s="38">
        <v>0</v>
      </c>
      <c r="AM255" s="38">
        <v>0</v>
      </c>
    </row>
    <row r="256" spans="1:39" s="2" customFormat="1" ht="63" outlineLevel="2" x14ac:dyDescent="0.25">
      <c r="A256" s="8" t="s">
        <v>92</v>
      </c>
      <c r="B256" s="32" t="s">
        <v>18</v>
      </c>
      <c r="C256" s="26" t="s">
        <v>32</v>
      </c>
      <c r="D256" s="26" t="s">
        <v>8</v>
      </c>
      <c r="E256" s="20">
        <f t="shared" si="366"/>
        <v>1412.8</v>
      </c>
      <c r="F256" s="38">
        <f t="shared" si="367"/>
        <v>0</v>
      </c>
      <c r="G256" s="38">
        <f t="shared" si="374"/>
        <v>0</v>
      </c>
      <c r="H256" s="38">
        <f t="shared" si="375"/>
        <v>1412.8</v>
      </c>
      <c r="I256" s="38">
        <f t="shared" si="368"/>
        <v>0</v>
      </c>
      <c r="J256" s="18">
        <f t="shared" si="369"/>
        <v>0</v>
      </c>
      <c r="K256" s="19">
        <v>0</v>
      </c>
      <c r="L256" s="38">
        <v>0</v>
      </c>
      <c r="M256" s="19">
        <v>0</v>
      </c>
      <c r="N256" s="38">
        <v>0</v>
      </c>
      <c r="O256" s="18">
        <f t="shared" si="376"/>
        <v>1412.8</v>
      </c>
      <c r="P256" s="19">
        <v>0</v>
      </c>
      <c r="Q256" s="38">
        <v>0</v>
      </c>
      <c r="R256" s="19">
        <f>1340+72.8</f>
        <v>1412.8</v>
      </c>
      <c r="S256" s="38">
        <v>0</v>
      </c>
      <c r="T256" s="18">
        <f t="shared" si="370"/>
        <v>0</v>
      </c>
      <c r="U256" s="19">
        <v>0</v>
      </c>
      <c r="V256" s="38">
        <v>0</v>
      </c>
      <c r="W256" s="38">
        <v>0</v>
      </c>
      <c r="X256" s="38">
        <v>0</v>
      </c>
      <c r="Y256" s="18">
        <f t="shared" si="371"/>
        <v>0</v>
      </c>
      <c r="Z256" s="19">
        <v>0</v>
      </c>
      <c r="AA256" s="38">
        <v>0</v>
      </c>
      <c r="AB256" s="38">
        <v>0</v>
      </c>
      <c r="AC256" s="38">
        <v>0</v>
      </c>
      <c r="AD256" s="18">
        <f t="shared" si="372"/>
        <v>0</v>
      </c>
      <c r="AE256" s="19">
        <v>0</v>
      </c>
      <c r="AF256" s="38">
        <v>0</v>
      </c>
      <c r="AG256" s="38">
        <v>0</v>
      </c>
      <c r="AH256" s="38">
        <v>0</v>
      </c>
      <c r="AI256" s="18">
        <f t="shared" si="373"/>
        <v>0</v>
      </c>
      <c r="AJ256" s="19">
        <v>0</v>
      </c>
      <c r="AK256" s="38">
        <v>0</v>
      </c>
      <c r="AL256" s="38">
        <v>0</v>
      </c>
      <c r="AM256" s="38">
        <v>0</v>
      </c>
    </row>
    <row r="257" spans="1:39" s="2" customFormat="1" ht="47.25" outlineLevel="2" x14ac:dyDescent="0.25">
      <c r="A257" s="8" t="s">
        <v>93</v>
      </c>
      <c r="B257" s="32" t="s">
        <v>19</v>
      </c>
      <c r="C257" s="26" t="s">
        <v>31</v>
      </c>
      <c r="D257" s="26" t="s">
        <v>8</v>
      </c>
      <c r="E257" s="20">
        <f t="shared" si="366"/>
        <v>1448</v>
      </c>
      <c r="F257" s="38">
        <f t="shared" si="367"/>
        <v>0</v>
      </c>
      <c r="G257" s="38">
        <f t="shared" si="374"/>
        <v>0</v>
      </c>
      <c r="H257" s="38">
        <f t="shared" si="375"/>
        <v>1448</v>
      </c>
      <c r="I257" s="38">
        <f t="shared" si="368"/>
        <v>0</v>
      </c>
      <c r="J257" s="18">
        <f t="shared" si="369"/>
        <v>1448</v>
      </c>
      <c r="K257" s="19">
        <v>0</v>
      </c>
      <c r="L257" s="38">
        <v>0</v>
      </c>
      <c r="M257" s="19">
        <v>1448</v>
      </c>
      <c r="N257" s="38">
        <v>0</v>
      </c>
      <c r="O257" s="18">
        <f t="shared" si="376"/>
        <v>0</v>
      </c>
      <c r="P257" s="19">
        <v>0</v>
      </c>
      <c r="Q257" s="38">
        <v>0</v>
      </c>
      <c r="R257" s="19">
        <v>0</v>
      </c>
      <c r="S257" s="38">
        <v>0</v>
      </c>
      <c r="T257" s="18">
        <f t="shared" si="370"/>
        <v>0</v>
      </c>
      <c r="U257" s="19">
        <v>0</v>
      </c>
      <c r="V257" s="38">
        <v>0</v>
      </c>
      <c r="W257" s="38">
        <v>0</v>
      </c>
      <c r="X257" s="38">
        <v>0</v>
      </c>
      <c r="Y257" s="18">
        <f t="shared" si="371"/>
        <v>0</v>
      </c>
      <c r="Z257" s="19">
        <v>0</v>
      </c>
      <c r="AA257" s="38">
        <v>0</v>
      </c>
      <c r="AB257" s="38">
        <v>0</v>
      </c>
      <c r="AC257" s="38">
        <v>0</v>
      </c>
      <c r="AD257" s="18">
        <f t="shared" si="372"/>
        <v>0</v>
      </c>
      <c r="AE257" s="19">
        <v>0</v>
      </c>
      <c r="AF257" s="38">
        <v>0</v>
      </c>
      <c r="AG257" s="38">
        <v>0</v>
      </c>
      <c r="AH257" s="38">
        <v>0</v>
      </c>
      <c r="AI257" s="18">
        <f t="shared" si="373"/>
        <v>0</v>
      </c>
      <c r="AJ257" s="19">
        <v>0</v>
      </c>
      <c r="AK257" s="38">
        <v>0</v>
      </c>
      <c r="AL257" s="38">
        <v>0</v>
      </c>
      <c r="AM257" s="38">
        <v>0</v>
      </c>
    </row>
    <row r="258" spans="1:39" s="2" customFormat="1" ht="63" outlineLevel="2" x14ac:dyDescent="0.25">
      <c r="A258" s="8" t="s">
        <v>94</v>
      </c>
      <c r="B258" s="32" t="s">
        <v>20</v>
      </c>
      <c r="C258" s="26" t="s">
        <v>32</v>
      </c>
      <c r="D258" s="26" t="s">
        <v>8</v>
      </c>
      <c r="E258" s="20">
        <f t="shared" si="366"/>
        <v>1421.7</v>
      </c>
      <c r="F258" s="38">
        <f t="shared" si="367"/>
        <v>0</v>
      </c>
      <c r="G258" s="38">
        <f t="shared" si="374"/>
        <v>0</v>
      </c>
      <c r="H258" s="38">
        <f t="shared" si="375"/>
        <v>1421.7</v>
      </c>
      <c r="I258" s="38">
        <f t="shared" si="368"/>
        <v>0</v>
      </c>
      <c r="J258" s="18">
        <f t="shared" si="369"/>
        <v>0</v>
      </c>
      <c r="K258" s="19">
        <v>0</v>
      </c>
      <c r="L258" s="38">
        <v>0</v>
      </c>
      <c r="M258" s="19">
        <v>0</v>
      </c>
      <c r="N258" s="38">
        <v>0</v>
      </c>
      <c r="O258" s="18">
        <f t="shared" si="376"/>
        <v>1421.7</v>
      </c>
      <c r="P258" s="19">
        <v>0</v>
      </c>
      <c r="Q258" s="38">
        <v>0</v>
      </c>
      <c r="R258" s="19">
        <f>1347+74.7</f>
        <v>1421.7</v>
      </c>
      <c r="S258" s="38">
        <v>0</v>
      </c>
      <c r="T258" s="18">
        <f t="shared" si="370"/>
        <v>0</v>
      </c>
      <c r="U258" s="19">
        <v>0</v>
      </c>
      <c r="V258" s="38">
        <v>0</v>
      </c>
      <c r="W258" s="38">
        <v>0</v>
      </c>
      <c r="X258" s="38">
        <v>0</v>
      </c>
      <c r="Y258" s="18">
        <f t="shared" si="371"/>
        <v>0</v>
      </c>
      <c r="Z258" s="19">
        <v>0</v>
      </c>
      <c r="AA258" s="38">
        <v>0</v>
      </c>
      <c r="AB258" s="38">
        <v>0</v>
      </c>
      <c r="AC258" s="38">
        <v>0</v>
      </c>
      <c r="AD258" s="18">
        <f t="shared" si="372"/>
        <v>0</v>
      </c>
      <c r="AE258" s="19">
        <v>0</v>
      </c>
      <c r="AF258" s="38">
        <v>0</v>
      </c>
      <c r="AG258" s="38">
        <v>0</v>
      </c>
      <c r="AH258" s="38">
        <v>0</v>
      </c>
      <c r="AI258" s="18">
        <f t="shared" si="373"/>
        <v>0</v>
      </c>
      <c r="AJ258" s="19">
        <v>0</v>
      </c>
      <c r="AK258" s="38">
        <v>0</v>
      </c>
      <c r="AL258" s="38">
        <v>0</v>
      </c>
      <c r="AM258" s="38">
        <v>0</v>
      </c>
    </row>
    <row r="259" spans="1:39" s="2" customFormat="1" ht="78.75" outlineLevel="2" x14ac:dyDescent="0.25">
      <c r="A259" s="8" t="s">
        <v>95</v>
      </c>
      <c r="B259" s="32" t="s">
        <v>28</v>
      </c>
      <c r="C259" s="26" t="s">
        <v>376</v>
      </c>
      <c r="D259" s="26" t="s">
        <v>118</v>
      </c>
      <c r="E259" s="20">
        <f t="shared" si="366"/>
        <v>2486.9</v>
      </c>
      <c r="F259" s="38">
        <f t="shared" si="367"/>
        <v>0</v>
      </c>
      <c r="G259" s="38">
        <f t="shared" si="374"/>
        <v>0</v>
      </c>
      <c r="H259" s="38">
        <f t="shared" si="375"/>
        <v>2486.9</v>
      </c>
      <c r="I259" s="38">
        <f t="shared" si="368"/>
        <v>0</v>
      </c>
      <c r="J259" s="18">
        <f t="shared" si="369"/>
        <v>0</v>
      </c>
      <c r="K259" s="19">
        <v>0</v>
      </c>
      <c r="L259" s="38">
        <v>0</v>
      </c>
      <c r="M259" s="19">
        <v>0</v>
      </c>
      <c r="N259" s="38">
        <v>0</v>
      </c>
      <c r="O259" s="18">
        <f t="shared" si="376"/>
        <v>2486.9</v>
      </c>
      <c r="P259" s="19">
        <v>0</v>
      </c>
      <c r="Q259" s="38">
        <v>0</v>
      </c>
      <c r="R259" s="19">
        <v>2486.9</v>
      </c>
      <c r="S259" s="38">
        <v>0</v>
      </c>
      <c r="T259" s="18">
        <f t="shared" si="370"/>
        <v>0</v>
      </c>
      <c r="U259" s="19">
        <v>0</v>
      </c>
      <c r="V259" s="38">
        <v>0</v>
      </c>
      <c r="W259" s="38">
        <v>0</v>
      </c>
      <c r="X259" s="38">
        <v>0</v>
      </c>
      <c r="Y259" s="18">
        <f t="shared" si="371"/>
        <v>0</v>
      </c>
      <c r="Z259" s="19">
        <v>0</v>
      </c>
      <c r="AA259" s="38">
        <v>0</v>
      </c>
      <c r="AB259" s="38">
        <v>0</v>
      </c>
      <c r="AC259" s="38">
        <v>0</v>
      </c>
      <c r="AD259" s="18">
        <f t="shared" si="372"/>
        <v>0</v>
      </c>
      <c r="AE259" s="19">
        <v>0</v>
      </c>
      <c r="AF259" s="38">
        <v>0</v>
      </c>
      <c r="AG259" s="38">
        <v>0</v>
      </c>
      <c r="AH259" s="38">
        <v>0</v>
      </c>
      <c r="AI259" s="18">
        <f t="shared" si="373"/>
        <v>0</v>
      </c>
      <c r="AJ259" s="19">
        <v>0</v>
      </c>
      <c r="AK259" s="38">
        <v>0</v>
      </c>
      <c r="AL259" s="38">
        <v>0</v>
      </c>
      <c r="AM259" s="38">
        <v>0</v>
      </c>
    </row>
    <row r="260" spans="1:39" s="2" customFormat="1" ht="141" customHeight="1" outlineLevel="2" x14ac:dyDescent="0.25">
      <c r="A260" s="92" t="s">
        <v>96</v>
      </c>
      <c r="B260" s="117" t="s">
        <v>260</v>
      </c>
      <c r="C260" s="167" t="s">
        <v>32</v>
      </c>
      <c r="D260" s="26" t="s">
        <v>731</v>
      </c>
      <c r="E260" s="20">
        <f t="shared" si="366"/>
        <v>7488.8000000000084</v>
      </c>
      <c r="F260" s="38">
        <f t="shared" si="367"/>
        <v>0</v>
      </c>
      <c r="G260" s="38">
        <f t="shared" si="374"/>
        <v>0</v>
      </c>
      <c r="H260" s="38">
        <f t="shared" si="375"/>
        <v>7488.8000000000084</v>
      </c>
      <c r="I260" s="38">
        <f t="shared" si="368"/>
        <v>0</v>
      </c>
      <c r="J260" s="18">
        <f t="shared" si="369"/>
        <v>1469.4</v>
      </c>
      <c r="K260" s="19">
        <v>0</v>
      </c>
      <c r="L260" s="38">
        <v>0</v>
      </c>
      <c r="M260" s="19">
        <v>1469.4</v>
      </c>
      <c r="N260" s="38">
        <v>0</v>
      </c>
      <c r="O260" s="18">
        <f t="shared" si="376"/>
        <v>1469.4000000000087</v>
      </c>
      <c r="P260" s="19">
        <v>0</v>
      </c>
      <c r="Q260" s="38">
        <v>0</v>
      </c>
      <c r="R260" s="19">
        <f>86630.6-85161.2</f>
        <v>1469.4000000000087</v>
      </c>
      <c r="S260" s="38">
        <v>0</v>
      </c>
      <c r="T260" s="18">
        <f t="shared" si="370"/>
        <v>0</v>
      </c>
      <c r="U260" s="19">
        <v>0</v>
      </c>
      <c r="V260" s="38">
        <v>0</v>
      </c>
      <c r="W260" s="38">
        <f>26000-21450-4550</f>
        <v>0</v>
      </c>
      <c r="X260" s="38">
        <v>0</v>
      </c>
      <c r="Y260" s="18">
        <f t="shared" si="371"/>
        <v>0</v>
      </c>
      <c r="Z260" s="19">
        <v>0</v>
      </c>
      <c r="AA260" s="38">
        <v>0</v>
      </c>
      <c r="AB260" s="38">
        <f>4550-4550</f>
        <v>0</v>
      </c>
      <c r="AC260" s="38">
        <v>0</v>
      </c>
      <c r="AD260" s="18">
        <f t="shared" si="372"/>
        <v>4550</v>
      </c>
      <c r="AE260" s="19">
        <v>0</v>
      </c>
      <c r="AF260" s="38">
        <v>0</v>
      </c>
      <c r="AG260" s="38">
        <v>4550</v>
      </c>
      <c r="AH260" s="38">
        <v>0</v>
      </c>
      <c r="AI260" s="18">
        <f t="shared" si="373"/>
        <v>0</v>
      </c>
      <c r="AJ260" s="19">
        <v>0</v>
      </c>
      <c r="AK260" s="38">
        <v>0</v>
      </c>
      <c r="AL260" s="38">
        <v>0</v>
      </c>
      <c r="AM260" s="38">
        <v>0</v>
      </c>
    </row>
    <row r="261" spans="1:39" s="2" customFormat="1" ht="47.25" outlineLevel="2" x14ac:dyDescent="0.25">
      <c r="A261" s="8" t="s">
        <v>97</v>
      </c>
      <c r="B261" s="32" t="s">
        <v>44</v>
      </c>
      <c r="C261" s="26" t="s">
        <v>32</v>
      </c>
      <c r="D261" s="26" t="s">
        <v>8</v>
      </c>
      <c r="E261" s="20">
        <f t="shared" si="366"/>
        <v>1795</v>
      </c>
      <c r="F261" s="38">
        <f t="shared" si="367"/>
        <v>0</v>
      </c>
      <c r="G261" s="38">
        <f t="shared" si="374"/>
        <v>0</v>
      </c>
      <c r="H261" s="38">
        <f t="shared" si="375"/>
        <v>1795</v>
      </c>
      <c r="I261" s="38">
        <f t="shared" si="368"/>
        <v>0</v>
      </c>
      <c r="J261" s="18">
        <f t="shared" si="369"/>
        <v>0</v>
      </c>
      <c r="K261" s="19">
        <v>0</v>
      </c>
      <c r="L261" s="38">
        <v>0</v>
      </c>
      <c r="M261" s="19">
        <v>0</v>
      </c>
      <c r="N261" s="38">
        <v>0</v>
      </c>
      <c r="O261" s="18">
        <f t="shared" si="376"/>
        <v>0</v>
      </c>
      <c r="P261" s="19">
        <v>0</v>
      </c>
      <c r="Q261" s="38">
        <v>0</v>
      </c>
      <c r="R261" s="19">
        <f>1795-1795</f>
        <v>0</v>
      </c>
      <c r="S261" s="38">
        <v>0</v>
      </c>
      <c r="T261" s="18">
        <f t="shared" si="370"/>
        <v>1795</v>
      </c>
      <c r="U261" s="19">
        <v>0</v>
      </c>
      <c r="V261" s="38">
        <v>0</v>
      </c>
      <c r="W261" s="38">
        <v>1795</v>
      </c>
      <c r="X261" s="38">
        <v>0</v>
      </c>
      <c r="Y261" s="18">
        <f t="shared" si="371"/>
        <v>0</v>
      </c>
      <c r="Z261" s="19">
        <v>0</v>
      </c>
      <c r="AA261" s="38">
        <v>0</v>
      </c>
      <c r="AB261" s="38">
        <v>0</v>
      </c>
      <c r="AC261" s="38">
        <v>0</v>
      </c>
      <c r="AD261" s="18">
        <f t="shared" si="372"/>
        <v>0</v>
      </c>
      <c r="AE261" s="19">
        <v>0</v>
      </c>
      <c r="AF261" s="38">
        <v>0</v>
      </c>
      <c r="AG261" s="38">
        <v>0</v>
      </c>
      <c r="AH261" s="38">
        <v>0</v>
      </c>
      <c r="AI261" s="18">
        <f t="shared" si="373"/>
        <v>0</v>
      </c>
      <c r="AJ261" s="19">
        <v>0</v>
      </c>
      <c r="AK261" s="38">
        <v>0</v>
      </c>
      <c r="AL261" s="38">
        <v>0</v>
      </c>
      <c r="AM261" s="38">
        <v>0</v>
      </c>
    </row>
    <row r="262" spans="1:39" s="2" customFormat="1" ht="47.25" outlineLevel="2" x14ac:dyDescent="0.25">
      <c r="A262" s="8" t="s">
        <v>98</v>
      </c>
      <c r="B262" s="32" t="s">
        <v>45</v>
      </c>
      <c r="C262" s="26" t="s">
        <v>32</v>
      </c>
      <c r="D262" s="26" t="s">
        <v>8</v>
      </c>
      <c r="E262" s="20">
        <f t="shared" si="366"/>
        <v>5040</v>
      </c>
      <c r="F262" s="38">
        <f t="shared" si="367"/>
        <v>0</v>
      </c>
      <c r="G262" s="38">
        <f t="shared" si="374"/>
        <v>0</v>
      </c>
      <c r="H262" s="38">
        <f t="shared" si="375"/>
        <v>5040</v>
      </c>
      <c r="I262" s="38">
        <f t="shared" si="368"/>
        <v>0</v>
      </c>
      <c r="J262" s="18">
        <f t="shared" si="369"/>
        <v>0</v>
      </c>
      <c r="K262" s="19">
        <v>0</v>
      </c>
      <c r="L262" s="38">
        <v>0</v>
      </c>
      <c r="M262" s="19">
        <v>0</v>
      </c>
      <c r="N262" s="38">
        <v>0</v>
      </c>
      <c r="O262" s="18">
        <f t="shared" si="376"/>
        <v>2520</v>
      </c>
      <c r="P262" s="19">
        <v>0</v>
      </c>
      <c r="Q262" s="38">
        <v>0</v>
      </c>
      <c r="R262" s="19">
        <v>2520</v>
      </c>
      <c r="S262" s="38">
        <v>0</v>
      </c>
      <c r="T262" s="18">
        <f t="shared" si="370"/>
        <v>2520</v>
      </c>
      <c r="U262" s="19">
        <v>0</v>
      </c>
      <c r="V262" s="38">
        <v>0</v>
      </c>
      <c r="W262" s="38">
        <v>2520</v>
      </c>
      <c r="X262" s="38">
        <v>0</v>
      </c>
      <c r="Y262" s="18">
        <f t="shared" si="371"/>
        <v>0</v>
      </c>
      <c r="Z262" s="19">
        <v>0</v>
      </c>
      <c r="AA262" s="38">
        <v>0</v>
      </c>
      <c r="AB262" s="38">
        <v>0</v>
      </c>
      <c r="AC262" s="38">
        <v>0</v>
      </c>
      <c r="AD262" s="18">
        <f t="shared" si="372"/>
        <v>0</v>
      </c>
      <c r="AE262" s="19">
        <v>0</v>
      </c>
      <c r="AF262" s="38">
        <v>0</v>
      </c>
      <c r="AG262" s="38">
        <v>0</v>
      </c>
      <c r="AH262" s="38">
        <v>0</v>
      </c>
      <c r="AI262" s="18">
        <f t="shared" si="373"/>
        <v>0</v>
      </c>
      <c r="AJ262" s="19">
        <v>0</v>
      </c>
      <c r="AK262" s="38">
        <v>0</v>
      </c>
      <c r="AL262" s="38">
        <v>0</v>
      </c>
      <c r="AM262" s="38">
        <v>0</v>
      </c>
    </row>
    <row r="263" spans="1:39" s="2" customFormat="1" ht="56.25" customHeight="1" outlineLevel="2" x14ac:dyDescent="0.25">
      <c r="A263" s="8" t="s">
        <v>99</v>
      </c>
      <c r="B263" s="29" t="s">
        <v>103</v>
      </c>
      <c r="C263" s="26" t="s">
        <v>32</v>
      </c>
      <c r="D263" s="26" t="s">
        <v>8</v>
      </c>
      <c r="E263" s="20">
        <f t="shared" si="366"/>
        <v>2213.9</v>
      </c>
      <c r="F263" s="38">
        <f t="shared" ref="F263:F276" si="377">K263+P263+U263</f>
        <v>0</v>
      </c>
      <c r="G263" s="38">
        <f t="shared" si="374"/>
        <v>0</v>
      </c>
      <c r="H263" s="38">
        <f t="shared" si="375"/>
        <v>2213.9</v>
      </c>
      <c r="I263" s="38">
        <f t="shared" si="368"/>
        <v>0</v>
      </c>
      <c r="J263" s="18">
        <f t="shared" si="369"/>
        <v>0</v>
      </c>
      <c r="K263" s="19">
        <v>0</v>
      </c>
      <c r="L263" s="38">
        <v>0</v>
      </c>
      <c r="M263" s="19">
        <v>0</v>
      </c>
      <c r="N263" s="38">
        <v>0</v>
      </c>
      <c r="O263" s="18">
        <f t="shared" si="376"/>
        <v>2213.9</v>
      </c>
      <c r="P263" s="19">
        <v>0</v>
      </c>
      <c r="Q263" s="38">
        <v>0</v>
      </c>
      <c r="R263" s="38">
        <f>1338.4+1142.6-267.1</f>
        <v>2213.9</v>
      </c>
      <c r="S263" s="38">
        <v>0</v>
      </c>
      <c r="T263" s="18">
        <f t="shared" si="370"/>
        <v>0</v>
      </c>
      <c r="U263" s="19">
        <v>0</v>
      </c>
      <c r="V263" s="38">
        <v>0</v>
      </c>
      <c r="W263" s="38">
        <v>0</v>
      </c>
      <c r="X263" s="38">
        <v>0</v>
      </c>
      <c r="Y263" s="18">
        <f t="shared" si="371"/>
        <v>0</v>
      </c>
      <c r="Z263" s="19">
        <v>0</v>
      </c>
      <c r="AA263" s="38">
        <v>0</v>
      </c>
      <c r="AB263" s="38">
        <v>0</v>
      </c>
      <c r="AC263" s="38">
        <v>0</v>
      </c>
      <c r="AD263" s="18">
        <f t="shared" si="372"/>
        <v>0</v>
      </c>
      <c r="AE263" s="19">
        <v>0</v>
      </c>
      <c r="AF263" s="38">
        <v>0</v>
      </c>
      <c r="AG263" s="38">
        <v>0</v>
      </c>
      <c r="AH263" s="38">
        <v>0</v>
      </c>
      <c r="AI263" s="18">
        <f t="shared" si="373"/>
        <v>0</v>
      </c>
      <c r="AJ263" s="19">
        <v>0</v>
      </c>
      <c r="AK263" s="38">
        <v>0</v>
      </c>
      <c r="AL263" s="38">
        <v>0</v>
      </c>
      <c r="AM263" s="38">
        <v>0</v>
      </c>
    </row>
    <row r="264" spans="1:39" s="2" customFormat="1" ht="48.75" customHeight="1" outlineLevel="2" x14ac:dyDescent="0.25">
      <c r="A264" s="8" t="s">
        <v>100</v>
      </c>
      <c r="B264" s="29" t="s">
        <v>461</v>
      </c>
      <c r="C264" s="26" t="s">
        <v>32</v>
      </c>
      <c r="D264" s="26" t="s">
        <v>8</v>
      </c>
      <c r="E264" s="20">
        <f t="shared" si="366"/>
        <v>6615.7000000000007</v>
      </c>
      <c r="F264" s="38">
        <f t="shared" si="377"/>
        <v>0</v>
      </c>
      <c r="G264" s="38">
        <f t="shared" si="374"/>
        <v>0</v>
      </c>
      <c r="H264" s="38">
        <f t="shared" si="375"/>
        <v>6615.7000000000007</v>
      </c>
      <c r="I264" s="38">
        <f t="shared" si="368"/>
        <v>0</v>
      </c>
      <c r="J264" s="18">
        <f t="shared" si="369"/>
        <v>0</v>
      </c>
      <c r="K264" s="19">
        <v>0</v>
      </c>
      <c r="L264" s="38">
        <v>0</v>
      </c>
      <c r="M264" s="19">
        <v>0</v>
      </c>
      <c r="N264" s="38">
        <v>0</v>
      </c>
      <c r="O264" s="18">
        <f t="shared" si="376"/>
        <v>0</v>
      </c>
      <c r="P264" s="19">
        <v>0</v>
      </c>
      <c r="Q264" s="38">
        <v>0</v>
      </c>
      <c r="R264" s="38">
        <f>2150.2+319.8-2470</f>
        <v>0</v>
      </c>
      <c r="S264" s="38">
        <v>0</v>
      </c>
      <c r="T264" s="18">
        <f t="shared" si="370"/>
        <v>3407.4</v>
      </c>
      <c r="U264" s="19">
        <v>0</v>
      </c>
      <c r="V264" s="38">
        <v>0</v>
      </c>
      <c r="W264" s="38">
        <f>2470+937.4</f>
        <v>3407.4</v>
      </c>
      <c r="X264" s="38">
        <v>0</v>
      </c>
      <c r="Y264" s="18">
        <f t="shared" si="371"/>
        <v>3208.3</v>
      </c>
      <c r="Z264" s="19">
        <v>0</v>
      </c>
      <c r="AA264" s="38">
        <v>0</v>
      </c>
      <c r="AB264" s="38">
        <v>3208.3</v>
      </c>
      <c r="AC264" s="38">
        <v>0</v>
      </c>
      <c r="AD264" s="18">
        <f t="shared" si="372"/>
        <v>0</v>
      </c>
      <c r="AE264" s="19">
        <v>0</v>
      </c>
      <c r="AF264" s="38">
        <v>0</v>
      </c>
      <c r="AG264" s="38">
        <v>0</v>
      </c>
      <c r="AH264" s="38">
        <v>0</v>
      </c>
      <c r="AI264" s="18">
        <f t="shared" si="373"/>
        <v>0</v>
      </c>
      <c r="AJ264" s="19">
        <v>0</v>
      </c>
      <c r="AK264" s="38">
        <v>0</v>
      </c>
      <c r="AL264" s="38">
        <v>0</v>
      </c>
      <c r="AM264" s="38">
        <v>0</v>
      </c>
    </row>
    <row r="265" spans="1:39" s="2" customFormat="1" ht="78.75" outlineLevel="2" x14ac:dyDescent="0.25">
      <c r="A265" s="8" t="s">
        <v>101</v>
      </c>
      <c r="B265" s="29" t="s">
        <v>269</v>
      </c>
      <c r="C265" s="26" t="s">
        <v>376</v>
      </c>
      <c r="D265" s="26" t="s">
        <v>8</v>
      </c>
      <c r="E265" s="20">
        <f t="shared" si="366"/>
        <v>7870.1</v>
      </c>
      <c r="F265" s="38">
        <f t="shared" si="377"/>
        <v>0</v>
      </c>
      <c r="G265" s="38">
        <f t="shared" si="374"/>
        <v>0</v>
      </c>
      <c r="H265" s="38">
        <f t="shared" si="375"/>
        <v>7870.1</v>
      </c>
      <c r="I265" s="38">
        <f t="shared" si="368"/>
        <v>0</v>
      </c>
      <c r="J265" s="18">
        <f t="shared" si="369"/>
        <v>7788.8</v>
      </c>
      <c r="K265" s="19">
        <v>0</v>
      </c>
      <c r="L265" s="38">
        <v>0</v>
      </c>
      <c r="M265" s="19">
        <v>7788.8</v>
      </c>
      <c r="N265" s="38">
        <v>0</v>
      </c>
      <c r="O265" s="18">
        <f t="shared" si="376"/>
        <v>81.299999999999955</v>
      </c>
      <c r="P265" s="19">
        <v>0</v>
      </c>
      <c r="Q265" s="38">
        <v>0</v>
      </c>
      <c r="R265" s="38">
        <f>1160-1078.7</f>
        <v>81.299999999999955</v>
      </c>
      <c r="S265" s="38">
        <v>0</v>
      </c>
      <c r="T265" s="18">
        <f t="shared" si="370"/>
        <v>0</v>
      </c>
      <c r="U265" s="19">
        <v>0</v>
      </c>
      <c r="V265" s="38">
        <v>0</v>
      </c>
      <c r="W265" s="38">
        <v>0</v>
      </c>
      <c r="X265" s="38">
        <v>0</v>
      </c>
      <c r="Y265" s="18">
        <f t="shared" si="371"/>
        <v>0</v>
      </c>
      <c r="Z265" s="19">
        <v>0</v>
      </c>
      <c r="AA265" s="38">
        <v>0</v>
      </c>
      <c r="AB265" s="38">
        <v>0</v>
      </c>
      <c r="AC265" s="38">
        <v>0</v>
      </c>
      <c r="AD265" s="18">
        <f t="shared" si="372"/>
        <v>0</v>
      </c>
      <c r="AE265" s="19">
        <v>0</v>
      </c>
      <c r="AF265" s="38">
        <v>0</v>
      </c>
      <c r="AG265" s="38">
        <v>0</v>
      </c>
      <c r="AH265" s="38">
        <v>0</v>
      </c>
      <c r="AI265" s="18">
        <f t="shared" si="373"/>
        <v>0</v>
      </c>
      <c r="AJ265" s="19">
        <v>0</v>
      </c>
      <c r="AK265" s="38">
        <v>0</v>
      </c>
      <c r="AL265" s="38">
        <v>0</v>
      </c>
      <c r="AM265" s="38">
        <v>0</v>
      </c>
    </row>
    <row r="266" spans="1:39" s="2" customFormat="1" ht="78.75" outlineLevel="2" x14ac:dyDescent="0.25">
      <c r="A266" s="8" t="s">
        <v>102</v>
      </c>
      <c r="B266" s="29" t="s">
        <v>106</v>
      </c>
      <c r="C266" s="26" t="s">
        <v>376</v>
      </c>
      <c r="D266" s="31" t="s">
        <v>41</v>
      </c>
      <c r="E266" s="20">
        <f>H266+I266</f>
        <v>2360.1</v>
      </c>
      <c r="F266" s="38">
        <f t="shared" si="377"/>
        <v>0</v>
      </c>
      <c r="G266" s="38">
        <f t="shared" si="374"/>
        <v>0</v>
      </c>
      <c r="H266" s="38">
        <f t="shared" si="375"/>
        <v>2336.5</v>
      </c>
      <c r="I266" s="38">
        <f t="shared" si="368"/>
        <v>23.599999999999998</v>
      </c>
      <c r="J266" s="18">
        <f t="shared" si="369"/>
        <v>2360.1</v>
      </c>
      <c r="K266" s="19">
        <v>0</v>
      </c>
      <c r="L266" s="38">
        <v>0</v>
      </c>
      <c r="M266" s="50">
        <f>3244.5-516-392</f>
        <v>2336.5</v>
      </c>
      <c r="N266" s="38">
        <f>32.8-5.2-4</f>
        <v>23.599999999999998</v>
      </c>
      <c r="O266" s="18">
        <f t="shared" si="376"/>
        <v>0</v>
      </c>
      <c r="P266" s="19">
        <v>0</v>
      </c>
      <c r="Q266" s="38">
        <v>0</v>
      </c>
      <c r="R266" s="38">
        <v>0</v>
      </c>
      <c r="S266" s="38">
        <v>0</v>
      </c>
      <c r="T266" s="18">
        <f t="shared" si="370"/>
        <v>0</v>
      </c>
      <c r="U266" s="19">
        <v>0</v>
      </c>
      <c r="V266" s="38">
        <v>0</v>
      </c>
      <c r="W266" s="38">
        <v>0</v>
      </c>
      <c r="X266" s="38">
        <v>0</v>
      </c>
      <c r="Y266" s="18">
        <f t="shared" si="371"/>
        <v>0</v>
      </c>
      <c r="Z266" s="19">
        <v>0</v>
      </c>
      <c r="AA266" s="38">
        <v>0</v>
      </c>
      <c r="AB266" s="38">
        <v>0</v>
      </c>
      <c r="AC266" s="38">
        <v>0</v>
      </c>
      <c r="AD266" s="18">
        <f t="shared" si="372"/>
        <v>0</v>
      </c>
      <c r="AE266" s="19">
        <v>0</v>
      </c>
      <c r="AF266" s="38">
        <v>0</v>
      </c>
      <c r="AG266" s="38">
        <v>0</v>
      </c>
      <c r="AH266" s="38">
        <v>0</v>
      </c>
      <c r="AI266" s="18">
        <f t="shared" si="373"/>
        <v>0</v>
      </c>
      <c r="AJ266" s="19">
        <v>0</v>
      </c>
      <c r="AK266" s="38">
        <v>0</v>
      </c>
      <c r="AL266" s="38">
        <v>0</v>
      </c>
      <c r="AM266" s="38">
        <v>0</v>
      </c>
    </row>
    <row r="267" spans="1:39" s="2" customFormat="1" ht="78.75" outlineLevel="2" x14ac:dyDescent="0.25">
      <c r="A267" s="8" t="s">
        <v>104</v>
      </c>
      <c r="B267" s="29" t="s">
        <v>107</v>
      </c>
      <c r="C267" s="26" t="s">
        <v>376</v>
      </c>
      <c r="D267" s="31" t="s">
        <v>41</v>
      </c>
      <c r="E267" s="20">
        <f>H267+I267</f>
        <v>1811.1</v>
      </c>
      <c r="F267" s="38">
        <f t="shared" si="377"/>
        <v>0</v>
      </c>
      <c r="G267" s="38">
        <f t="shared" si="374"/>
        <v>0</v>
      </c>
      <c r="H267" s="38">
        <f t="shared" si="375"/>
        <v>1793</v>
      </c>
      <c r="I267" s="38">
        <f t="shared" si="368"/>
        <v>18.100000000000001</v>
      </c>
      <c r="J267" s="18">
        <f t="shared" si="369"/>
        <v>1811.1</v>
      </c>
      <c r="K267" s="19">
        <v>0</v>
      </c>
      <c r="L267" s="38">
        <v>0</v>
      </c>
      <c r="M267" s="50">
        <f>3129.9-1336.9</f>
        <v>1793</v>
      </c>
      <c r="N267" s="38">
        <f>31.6-13.5</f>
        <v>18.100000000000001</v>
      </c>
      <c r="O267" s="18">
        <f t="shared" si="376"/>
        <v>0</v>
      </c>
      <c r="P267" s="19">
        <v>0</v>
      </c>
      <c r="Q267" s="38">
        <v>0</v>
      </c>
      <c r="R267" s="38">
        <v>0</v>
      </c>
      <c r="S267" s="38">
        <v>0</v>
      </c>
      <c r="T267" s="18">
        <f t="shared" si="370"/>
        <v>0</v>
      </c>
      <c r="U267" s="19">
        <v>0</v>
      </c>
      <c r="V267" s="38">
        <v>0</v>
      </c>
      <c r="W267" s="38">
        <v>0</v>
      </c>
      <c r="X267" s="38">
        <v>0</v>
      </c>
      <c r="Y267" s="18">
        <f t="shared" si="371"/>
        <v>0</v>
      </c>
      <c r="Z267" s="19">
        <v>0</v>
      </c>
      <c r="AA267" s="38">
        <v>0</v>
      </c>
      <c r="AB267" s="38">
        <v>0</v>
      </c>
      <c r="AC267" s="38">
        <v>0</v>
      </c>
      <c r="AD267" s="18">
        <f t="shared" si="372"/>
        <v>0</v>
      </c>
      <c r="AE267" s="19">
        <v>0</v>
      </c>
      <c r="AF267" s="38">
        <v>0</v>
      </c>
      <c r="AG267" s="38">
        <v>0</v>
      </c>
      <c r="AH267" s="38">
        <v>0</v>
      </c>
      <c r="AI267" s="18">
        <f t="shared" si="373"/>
        <v>0</v>
      </c>
      <c r="AJ267" s="19">
        <v>0</v>
      </c>
      <c r="AK267" s="38">
        <v>0</v>
      </c>
      <c r="AL267" s="38">
        <v>0</v>
      </c>
      <c r="AM267" s="38">
        <v>0</v>
      </c>
    </row>
    <row r="268" spans="1:39" s="2" customFormat="1" ht="78.75" outlineLevel="2" x14ac:dyDescent="0.25">
      <c r="A268" s="8" t="s">
        <v>185</v>
      </c>
      <c r="B268" s="29" t="s">
        <v>108</v>
      </c>
      <c r="C268" s="26" t="s">
        <v>376</v>
      </c>
      <c r="D268" s="31" t="s">
        <v>41</v>
      </c>
      <c r="E268" s="20">
        <f>H268+I268</f>
        <v>1706.8</v>
      </c>
      <c r="F268" s="38">
        <f t="shared" si="377"/>
        <v>0</v>
      </c>
      <c r="G268" s="38">
        <f t="shared" si="374"/>
        <v>0</v>
      </c>
      <c r="H268" s="38">
        <f t="shared" si="375"/>
        <v>1689.7</v>
      </c>
      <c r="I268" s="38">
        <f t="shared" si="368"/>
        <v>17.100000000000001</v>
      </c>
      <c r="J268" s="18">
        <f t="shared" si="369"/>
        <v>1706.8</v>
      </c>
      <c r="K268" s="19">
        <v>0</v>
      </c>
      <c r="L268" s="38">
        <v>0</v>
      </c>
      <c r="M268" s="50">
        <f>3210.9-1521.2</f>
        <v>1689.7</v>
      </c>
      <c r="N268" s="38">
        <f>32.5-15.4</f>
        <v>17.100000000000001</v>
      </c>
      <c r="O268" s="18">
        <f t="shared" si="376"/>
        <v>0</v>
      </c>
      <c r="P268" s="19">
        <v>0</v>
      </c>
      <c r="Q268" s="38">
        <v>0</v>
      </c>
      <c r="R268" s="38">
        <v>0</v>
      </c>
      <c r="S268" s="38">
        <v>0</v>
      </c>
      <c r="T268" s="18">
        <f t="shared" si="370"/>
        <v>0</v>
      </c>
      <c r="U268" s="19">
        <v>0</v>
      </c>
      <c r="V268" s="38">
        <v>0</v>
      </c>
      <c r="W268" s="38">
        <v>0</v>
      </c>
      <c r="X268" s="38">
        <v>0</v>
      </c>
      <c r="Y268" s="18">
        <f t="shared" si="371"/>
        <v>0</v>
      </c>
      <c r="Z268" s="19">
        <v>0</v>
      </c>
      <c r="AA268" s="38">
        <v>0</v>
      </c>
      <c r="AB268" s="38">
        <v>0</v>
      </c>
      <c r="AC268" s="38">
        <v>0</v>
      </c>
      <c r="AD268" s="18">
        <f t="shared" si="372"/>
        <v>0</v>
      </c>
      <c r="AE268" s="19">
        <v>0</v>
      </c>
      <c r="AF268" s="38">
        <v>0</v>
      </c>
      <c r="AG268" s="38">
        <v>0</v>
      </c>
      <c r="AH268" s="38">
        <v>0</v>
      </c>
      <c r="AI268" s="18">
        <f t="shared" si="373"/>
        <v>0</v>
      </c>
      <c r="AJ268" s="19">
        <v>0</v>
      </c>
      <c r="AK268" s="38">
        <v>0</v>
      </c>
      <c r="AL268" s="38">
        <v>0</v>
      </c>
      <c r="AM268" s="38">
        <v>0</v>
      </c>
    </row>
    <row r="269" spans="1:39" s="2" customFormat="1" ht="78.75" outlineLevel="2" x14ac:dyDescent="0.25">
      <c r="A269" s="8" t="s">
        <v>186</v>
      </c>
      <c r="B269" s="29" t="s">
        <v>109</v>
      </c>
      <c r="C269" s="26" t="s">
        <v>376</v>
      </c>
      <c r="D269" s="31" t="s">
        <v>41</v>
      </c>
      <c r="E269" s="20">
        <f>H269+I269</f>
        <v>1370.8</v>
      </c>
      <c r="F269" s="38">
        <f t="shared" si="377"/>
        <v>0</v>
      </c>
      <c r="G269" s="38">
        <f t="shared" si="374"/>
        <v>0</v>
      </c>
      <c r="H269" s="38">
        <f t="shared" si="375"/>
        <v>1357.1</v>
      </c>
      <c r="I269" s="38">
        <f t="shared" si="368"/>
        <v>13.7</v>
      </c>
      <c r="J269" s="18">
        <f t="shared" si="369"/>
        <v>1370.8</v>
      </c>
      <c r="K269" s="19">
        <v>0</v>
      </c>
      <c r="L269" s="38">
        <v>0</v>
      </c>
      <c r="M269" s="50">
        <f>2985.7-1628.6</f>
        <v>1357.1</v>
      </c>
      <c r="N269" s="38">
        <f>30.2-16.5</f>
        <v>13.7</v>
      </c>
      <c r="O269" s="18">
        <f t="shared" si="376"/>
        <v>0</v>
      </c>
      <c r="P269" s="19">
        <v>0</v>
      </c>
      <c r="Q269" s="38">
        <v>0</v>
      </c>
      <c r="R269" s="38">
        <v>0</v>
      </c>
      <c r="S269" s="38">
        <v>0</v>
      </c>
      <c r="T269" s="18">
        <f t="shared" si="370"/>
        <v>0</v>
      </c>
      <c r="U269" s="19">
        <v>0</v>
      </c>
      <c r="V269" s="38">
        <v>0</v>
      </c>
      <c r="W269" s="38">
        <v>0</v>
      </c>
      <c r="X269" s="38">
        <v>0</v>
      </c>
      <c r="Y269" s="18">
        <f t="shared" si="371"/>
        <v>0</v>
      </c>
      <c r="Z269" s="19">
        <v>0</v>
      </c>
      <c r="AA269" s="38">
        <v>0</v>
      </c>
      <c r="AB269" s="38">
        <v>0</v>
      </c>
      <c r="AC269" s="38">
        <v>0</v>
      </c>
      <c r="AD269" s="18">
        <f t="shared" si="372"/>
        <v>0</v>
      </c>
      <c r="AE269" s="19">
        <v>0</v>
      </c>
      <c r="AF269" s="38">
        <v>0</v>
      </c>
      <c r="AG269" s="38">
        <v>0</v>
      </c>
      <c r="AH269" s="38">
        <v>0</v>
      </c>
      <c r="AI269" s="18">
        <f t="shared" si="373"/>
        <v>0</v>
      </c>
      <c r="AJ269" s="19">
        <v>0</v>
      </c>
      <c r="AK269" s="38">
        <v>0</v>
      </c>
      <c r="AL269" s="38">
        <v>0</v>
      </c>
      <c r="AM269" s="38">
        <v>0</v>
      </c>
    </row>
    <row r="270" spans="1:39" s="2" customFormat="1" ht="78.75" outlineLevel="2" x14ac:dyDescent="0.25">
      <c r="A270" s="8" t="s">
        <v>187</v>
      </c>
      <c r="B270" s="29" t="s">
        <v>110</v>
      </c>
      <c r="C270" s="26" t="s">
        <v>376</v>
      </c>
      <c r="D270" s="31" t="s">
        <v>41</v>
      </c>
      <c r="E270" s="20">
        <f>H270+I270</f>
        <v>683.59999999999991</v>
      </c>
      <c r="F270" s="38">
        <f t="shared" si="377"/>
        <v>0</v>
      </c>
      <c r="G270" s="38">
        <f t="shared" si="374"/>
        <v>0</v>
      </c>
      <c r="H270" s="38">
        <f t="shared" si="375"/>
        <v>676.8</v>
      </c>
      <c r="I270" s="38">
        <f t="shared" si="368"/>
        <v>6.7999999999999989</v>
      </c>
      <c r="J270" s="18">
        <f t="shared" si="369"/>
        <v>683.59999999999991</v>
      </c>
      <c r="K270" s="19">
        <v>0</v>
      </c>
      <c r="L270" s="38">
        <v>0</v>
      </c>
      <c r="M270" s="50">
        <f>1799-1122.2</f>
        <v>676.8</v>
      </c>
      <c r="N270" s="38">
        <f>18.2-11.4</f>
        <v>6.7999999999999989</v>
      </c>
      <c r="O270" s="18">
        <f t="shared" si="376"/>
        <v>0</v>
      </c>
      <c r="P270" s="19">
        <v>0</v>
      </c>
      <c r="Q270" s="38">
        <v>0</v>
      </c>
      <c r="R270" s="38">
        <v>0</v>
      </c>
      <c r="S270" s="38">
        <v>0</v>
      </c>
      <c r="T270" s="18">
        <f t="shared" si="370"/>
        <v>0</v>
      </c>
      <c r="U270" s="19">
        <v>0</v>
      </c>
      <c r="V270" s="38">
        <v>0</v>
      </c>
      <c r="W270" s="38">
        <v>0</v>
      </c>
      <c r="X270" s="38">
        <v>0</v>
      </c>
      <c r="Y270" s="18">
        <f t="shared" si="371"/>
        <v>0</v>
      </c>
      <c r="Z270" s="19">
        <v>0</v>
      </c>
      <c r="AA270" s="38">
        <v>0</v>
      </c>
      <c r="AB270" s="38">
        <v>0</v>
      </c>
      <c r="AC270" s="38">
        <v>0</v>
      </c>
      <c r="AD270" s="18">
        <f t="shared" si="372"/>
        <v>0</v>
      </c>
      <c r="AE270" s="19">
        <v>0</v>
      </c>
      <c r="AF270" s="38">
        <v>0</v>
      </c>
      <c r="AG270" s="38">
        <v>0</v>
      </c>
      <c r="AH270" s="38">
        <v>0</v>
      </c>
      <c r="AI270" s="18">
        <f t="shared" si="373"/>
        <v>0</v>
      </c>
      <c r="AJ270" s="19">
        <v>0</v>
      </c>
      <c r="AK270" s="38">
        <v>0</v>
      </c>
      <c r="AL270" s="38">
        <v>0</v>
      </c>
      <c r="AM270" s="38">
        <v>0</v>
      </c>
    </row>
    <row r="271" spans="1:39" s="2" customFormat="1" ht="78.75" outlineLevel="2" x14ac:dyDescent="0.25">
      <c r="A271" s="8" t="s">
        <v>188</v>
      </c>
      <c r="B271" s="29" t="s">
        <v>333</v>
      </c>
      <c r="C271" s="26" t="s">
        <v>376</v>
      </c>
      <c r="D271" s="26" t="s">
        <v>118</v>
      </c>
      <c r="E271" s="20">
        <f t="shared" ref="E271:E276" si="378">SUM(F271:I271)</f>
        <v>1461.6</v>
      </c>
      <c r="F271" s="38">
        <f t="shared" si="377"/>
        <v>0</v>
      </c>
      <c r="G271" s="38">
        <f t="shared" si="374"/>
        <v>0</v>
      </c>
      <c r="H271" s="38">
        <f t="shared" si="375"/>
        <v>1461.6</v>
      </c>
      <c r="I271" s="38">
        <f t="shared" si="368"/>
        <v>0</v>
      </c>
      <c r="J271" s="18">
        <f t="shared" si="369"/>
        <v>1461.6</v>
      </c>
      <c r="K271" s="19">
        <v>0</v>
      </c>
      <c r="L271" s="38">
        <v>0</v>
      </c>
      <c r="M271" s="50">
        <v>1461.6</v>
      </c>
      <c r="N271" s="38">
        <v>0</v>
      </c>
      <c r="O271" s="18">
        <f t="shared" si="376"/>
        <v>0</v>
      </c>
      <c r="P271" s="19">
        <v>0</v>
      </c>
      <c r="Q271" s="38">
        <v>0</v>
      </c>
      <c r="R271" s="38">
        <v>0</v>
      </c>
      <c r="S271" s="38">
        <v>0</v>
      </c>
      <c r="T271" s="18">
        <f t="shared" si="370"/>
        <v>0</v>
      </c>
      <c r="U271" s="19">
        <v>0</v>
      </c>
      <c r="V271" s="38">
        <v>0</v>
      </c>
      <c r="W271" s="38">
        <v>0</v>
      </c>
      <c r="X271" s="38">
        <v>0</v>
      </c>
      <c r="Y271" s="18">
        <f t="shared" si="371"/>
        <v>0</v>
      </c>
      <c r="Z271" s="19">
        <v>0</v>
      </c>
      <c r="AA271" s="38">
        <v>0</v>
      </c>
      <c r="AB271" s="38">
        <v>0</v>
      </c>
      <c r="AC271" s="38">
        <v>0</v>
      </c>
      <c r="AD271" s="18">
        <f t="shared" si="372"/>
        <v>0</v>
      </c>
      <c r="AE271" s="19">
        <v>0</v>
      </c>
      <c r="AF271" s="38">
        <v>0</v>
      </c>
      <c r="AG271" s="38">
        <v>0</v>
      </c>
      <c r="AH271" s="38">
        <v>0</v>
      </c>
      <c r="AI271" s="18">
        <f t="shared" si="373"/>
        <v>0</v>
      </c>
      <c r="AJ271" s="19">
        <v>0</v>
      </c>
      <c r="AK271" s="38">
        <v>0</v>
      </c>
      <c r="AL271" s="38">
        <v>0</v>
      </c>
      <c r="AM271" s="38">
        <v>0</v>
      </c>
    </row>
    <row r="272" spans="1:39" s="2" customFormat="1" ht="110.25" outlineLevel="2" x14ac:dyDescent="0.25">
      <c r="A272" s="8" t="s">
        <v>189</v>
      </c>
      <c r="B272" s="29" t="s">
        <v>433</v>
      </c>
      <c r="C272" s="26" t="s">
        <v>32</v>
      </c>
      <c r="D272" s="26" t="s">
        <v>8</v>
      </c>
      <c r="E272" s="20">
        <f t="shared" si="378"/>
        <v>3208.4</v>
      </c>
      <c r="F272" s="38">
        <f t="shared" si="377"/>
        <v>0</v>
      </c>
      <c r="G272" s="38">
        <f t="shared" si="374"/>
        <v>0</v>
      </c>
      <c r="H272" s="38">
        <f t="shared" si="375"/>
        <v>3208.4</v>
      </c>
      <c r="I272" s="38">
        <f t="shared" si="368"/>
        <v>0</v>
      </c>
      <c r="J272" s="18">
        <f t="shared" si="369"/>
        <v>0</v>
      </c>
      <c r="K272" s="19">
        <v>0</v>
      </c>
      <c r="L272" s="38">
        <v>0</v>
      </c>
      <c r="M272" s="50">
        <v>0</v>
      </c>
      <c r="N272" s="38">
        <v>0</v>
      </c>
      <c r="O272" s="18">
        <f t="shared" si="376"/>
        <v>2816.0000000000005</v>
      </c>
      <c r="P272" s="19">
        <v>0</v>
      </c>
      <c r="Q272" s="38">
        <v>0</v>
      </c>
      <c r="R272" s="38">
        <f>7450-4256.4-377.6</f>
        <v>2816.0000000000005</v>
      </c>
      <c r="S272" s="38">
        <v>0</v>
      </c>
      <c r="T272" s="18">
        <f t="shared" si="370"/>
        <v>377.7</v>
      </c>
      <c r="U272" s="19">
        <v>0</v>
      </c>
      <c r="V272" s="38">
        <v>0</v>
      </c>
      <c r="W272" s="38">
        <v>377.7</v>
      </c>
      <c r="X272" s="38">
        <v>0</v>
      </c>
      <c r="Y272" s="18">
        <f t="shared" si="371"/>
        <v>14.699999999999989</v>
      </c>
      <c r="Z272" s="19">
        <v>0</v>
      </c>
      <c r="AA272" s="38">
        <v>0</v>
      </c>
      <c r="AB272" s="38">
        <f>377.7-363</f>
        <v>14.699999999999989</v>
      </c>
      <c r="AC272" s="38">
        <v>0</v>
      </c>
      <c r="AD272" s="18">
        <f t="shared" si="372"/>
        <v>0</v>
      </c>
      <c r="AE272" s="19">
        <v>0</v>
      </c>
      <c r="AF272" s="38">
        <v>0</v>
      </c>
      <c r="AG272" s="38">
        <v>0</v>
      </c>
      <c r="AH272" s="38">
        <v>0</v>
      </c>
      <c r="AI272" s="18">
        <f t="shared" si="373"/>
        <v>0</v>
      </c>
      <c r="AJ272" s="19">
        <v>0</v>
      </c>
      <c r="AK272" s="38">
        <v>0</v>
      </c>
      <c r="AL272" s="38">
        <v>0</v>
      </c>
      <c r="AM272" s="38">
        <v>0</v>
      </c>
    </row>
    <row r="273" spans="1:39" s="2" customFormat="1" ht="63" outlineLevel="2" x14ac:dyDescent="0.25">
      <c r="A273" s="8" t="s">
        <v>316</v>
      </c>
      <c r="B273" s="29" t="s">
        <v>429</v>
      </c>
      <c r="C273" s="26" t="s">
        <v>32</v>
      </c>
      <c r="D273" s="31" t="s">
        <v>41</v>
      </c>
      <c r="E273" s="20">
        <f t="shared" si="378"/>
        <v>267.39999999999998</v>
      </c>
      <c r="F273" s="38">
        <f t="shared" si="377"/>
        <v>0</v>
      </c>
      <c r="G273" s="38">
        <f t="shared" si="374"/>
        <v>0</v>
      </c>
      <c r="H273" s="38">
        <f t="shared" si="375"/>
        <v>264.7</v>
      </c>
      <c r="I273" s="38">
        <f t="shared" si="368"/>
        <v>2.7</v>
      </c>
      <c r="J273" s="18">
        <f t="shared" si="369"/>
        <v>267.39999999999998</v>
      </c>
      <c r="K273" s="19">
        <v>0</v>
      </c>
      <c r="L273" s="38">
        <v>0</v>
      </c>
      <c r="M273" s="50">
        <v>264.7</v>
      </c>
      <c r="N273" s="38">
        <v>2.7</v>
      </c>
      <c r="O273" s="18">
        <f t="shared" si="376"/>
        <v>0</v>
      </c>
      <c r="P273" s="19">
        <v>0</v>
      </c>
      <c r="Q273" s="38">
        <v>0</v>
      </c>
      <c r="R273" s="38">
        <v>0</v>
      </c>
      <c r="S273" s="38">
        <v>0</v>
      </c>
      <c r="T273" s="18">
        <f t="shared" si="370"/>
        <v>0</v>
      </c>
      <c r="U273" s="19">
        <v>0</v>
      </c>
      <c r="V273" s="38">
        <v>0</v>
      </c>
      <c r="W273" s="38">
        <v>0</v>
      </c>
      <c r="X273" s="38">
        <v>0</v>
      </c>
      <c r="Y273" s="18">
        <f t="shared" si="371"/>
        <v>0</v>
      </c>
      <c r="Z273" s="19">
        <v>0</v>
      </c>
      <c r="AA273" s="38">
        <v>0</v>
      </c>
      <c r="AB273" s="38">
        <v>0</v>
      </c>
      <c r="AC273" s="38">
        <v>0</v>
      </c>
      <c r="AD273" s="18">
        <f t="shared" si="372"/>
        <v>0</v>
      </c>
      <c r="AE273" s="19">
        <v>0</v>
      </c>
      <c r="AF273" s="38">
        <v>0</v>
      </c>
      <c r="AG273" s="38">
        <v>0</v>
      </c>
      <c r="AH273" s="38">
        <v>0</v>
      </c>
      <c r="AI273" s="18">
        <f t="shared" si="373"/>
        <v>0</v>
      </c>
      <c r="AJ273" s="19">
        <v>0</v>
      </c>
      <c r="AK273" s="38">
        <v>0</v>
      </c>
      <c r="AL273" s="38">
        <v>0</v>
      </c>
      <c r="AM273" s="38">
        <v>0</v>
      </c>
    </row>
    <row r="274" spans="1:39" s="2" customFormat="1" ht="47.25" outlineLevel="2" x14ac:dyDescent="0.25">
      <c r="A274" s="8" t="s">
        <v>797</v>
      </c>
      <c r="B274" s="29" t="s">
        <v>796</v>
      </c>
      <c r="C274" s="26" t="s">
        <v>32</v>
      </c>
      <c r="D274" s="31" t="s">
        <v>41</v>
      </c>
      <c r="E274" s="20">
        <f t="shared" si="378"/>
        <v>445.4</v>
      </c>
      <c r="F274" s="38">
        <f t="shared" si="377"/>
        <v>0</v>
      </c>
      <c r="G274" s="38">
        <f t="shared" ref="G274:I276" si="379">L274+Q274+V274+AA274+AF274+AK274</f>
        <v>0</v>
      </c>
      <c r="H274" s="38">
        <f t="shared" si="379"/>
        <v>440.9</v>
      </c>
      <c r="I274" s="38">
        <f t="shared" si="379"/>
        <v>4.5</v>
      </c>
      <c r="J274" s="18">
        <f t="shared" ref="J274:J279" si="380">SUM(K274:N274)</f>
        <v>0</v>
      </c>
      <c r="K274" s="19">
        <v>0</v>
      </c>
      <c r="L274" s="38">
        <v>0</v>
      </c>
      <c r="M274" s="50">
        <v>0</v>
      </c>
      <c r="N274" s="38">
        <v>0</v>
      </c>
      <c r="O274" s="18">
        <f t="shared" ref="O274:O279" si="381">SUM(Q274:S274)</f>
        <v>445.4</v>
      </c>
      <c r="P274" s="19">
        <v>0</v>
      </c>
      <c r="Q274" s="38">
        <v>0</v>
      </c>
      <c r="R274" s="38">
        <v>440.9</v>
      </c>
      <c r="S274" s="38">
        <v>4.5</v>
      </c>
      <c r="T274" s="18">
        <f t="shared" ref="T274:T279" si="382">SUM(U274:X274)</f>
        <v>0</v>
      </c>
      <c r="U274" s="19">
        <v>0</v>
      </c>
      <c r="V274" s="38">
        <v>0</v>
      </c>
      <c r="W274" s="38">
        <v>0</v>
      </c>
      <c r="X274" s="38">
        <v>0</v>
      </c>
      <c r="Y274" s="18">
        <f t="shared" ref="Y274:Y279" si="383">SUM(Z274:AC274)</f>
        <v>0</v>
      </c>
      <c r="Z274" s="19">
        <v>0</v>
      </c>
      <c r="AA274" s="38">
        <v>0</v>
      </c>
      <c r="AB274" s="38">
        <v>0</v>
      </c>
      <c r="AC274" s="38">
        <v>0</v>
      </c>
      <c r="AD274" s="18">
        <f t="shared" ref="AD274:AD279" si="384">SUM(AE274:AH274)</f>
        <v>0</v>
      </c>
      <c r="AE274" s="19">
        <v>0</v>
      </c>
      <c r="AF274" s="38">
        <v>0</v>
      </c>
      <c r="AG274" s="38">
        <v>0</v>
      </c>
      <c r="AH274" s="38">
        <v>0</v>
      </c>
      <c r="AI274" s="18">
        <f t="shared" ref="AI274:AI279" si="385">SUM(AJ274:AM274)</f>
        <v>0</v>
      </c>
      <c r="AJ274" s="19">
        <v>0</v>
      </c>
      <c r="AK274" s="38">
        <v>0</v>
      </c>
      <c r="AL274" s="38">
        <v>0</v>
      </c>
      <c r="AM274" s="38">
        <v>0</v>
      </c>
    </row>
    <row r="275" spans="1:39" s="2" customFormat="1" ht="47.25" outlineLevel="2" x14ac:dyDescent="0.25">
      <c r="A275" s="8" t="s">
        <v>1028</v>
      </c>
      <c r="B275" s="29" t="s">
        <v>1029</v>
      </c>
      <c r="C275" s="26" t="s">
        <v>32</v>
      </c>
      <c r="D275" s="31" t="s">
        <v>8</v>
      </c>
      <c r="E275" s="20">
        <f t="shared" si="378"/>
        <v>1800</v>
      </c>
      <c r="F275" s="38">
        <f t="shared" si="377"/>
        <v>0</v>
      </c>
      <c r="G275" s="38">
        <f t="shared" si="379"/>
        <v>0</v>
      </c>
      <c r="H275" s="38">
        <f t="shared" si="379"/>
        <v>1800</v>
      </c>
      <c r="I275" s="38">
        <f t="shared" si="379"/>
        <v>0</v>
      </c>
      <c r="J275" s="18">
        <f t="shared" si="380"/>
        <v>0</v>
      </c>
      <c r="K275" s="19">
        <v>0</v>
      </c>
      <c r="L275" s="38">
        <v>0</v>
      </c>
      <c r="M275" s="50">
        <v>0</v>
      </c>
      <c r="N275" s="38">
        <v>0</v>
      </c>
      <c r="O275" s="18">
        <f t="shared" si="381"/>
        <v>0</v>
      </c>
      <c r="P275" s="19">
        <v>0</v>
      </c>
      <c r="Q275" s="38">
        <v>0</v>
      </c>
      <c r="R275" s="38">
        <v>0</v>
      </c>
      <c r="S275" s="38">
        <v>0</v>
      </c>
      <c r="T275" s="18">
        <f t="shared" si="382"/>
        <v>0</v>
      </c>
      <c r="U275" s="19">
        <v>0</v>
      </c>
      <c r="V275" s="38">
        <v>0</v>
      </c>
      <c r="W275" s="38">
        <f>634.1-634.1</f>
        <v>0</v>
      </c>
      <c r="X275" s="38">
        <v>0</v>
      </c>
      <c r="Y275" s="18">
        <f t="shared" si="383"/>
        <v>0</v>
      </c>
      <c r="Z275" s="19">
        <v>0</v>
      </c>
      <c r="AA275" s="38">
        <v>0</v>
      </c>
      <c r="AB275" s="38">
        <f>634.1+1758.9-593-1800</f>
        <v>0</v>
      </c>
      <c r="AC275" s="38">
        <v>0</v>
      </c>
      <c r="AD275" s="18">
        <f t="shared" si="384"/>
        <v>1800</v>
      </c>
      <c r="AE275" s="19">
        <v>0</v>
      </c>
      <c r="AF275" s="38">
        <v>0</v>
      </c>
      <c r="AG275" s="38">
        <v>1800</v>
      </c>
      <c r="AH275" s="38">
        <v>0</v>
      </c>
      <c r="AI275" s="18">
        <f t="shared" si="385"/>
        <v>0</v>
      </c>
      <c r="AJ275" s="19">
        <v>0</v>
      </c>
      <c r="AK275" s="38">
        <v>0</v>
      </c>
      <c r="AL275" s="38">
        <v>0</v>
      </c>
      <c r="AM275" s="38">
        <v>0</v>
      </c>
    </row>
    <row r="276" spans="1:39" s="2" customFormat="1" ht="47.25" outlineLevel="2" x14ac:dyDescent="0.25">
      <c r="A276" s="8" t="s">
        <v>1030</v>
      </c>
      <c r="B276" s="29" t="s">
        <v>1056</v>
      </c>
      <c r="C276" s="26" t="s">
        <v>32</v>
      </c>
      <c r="D276" s="31" t="s">
        <v>8</v>
      </c>
      <c r="E276" s="20">
        <f t="shared" si="378"/>
        <v>1667.7</v>
      </c>
      <c r="F276" s="38">
        <f t="shared" si="377"/>
        <v>0</v>
      </c>
      <c r="G276" s="38">
        <f t="shared" si="379"/>
        <v>0</v>
      </c>
      <c r="H276" s="38">
        <f t="shared" si="379"/>
        <v>1667.7</v>
      </c>
      <c r="I276" s="38">
        <f t="shared" si="379"/>
        <v>0</v>
      </c>
      <c r="J276" s="18">
        <f t="shared" si="380"/>
        <v>0</v>
      </c>
      <c r="K276" s="19">
        <v>0</v>
      </c>
      <c r="L276" s="38">
        <v>0</v>
      </c>
      <c r="M276" s="50">
        <v>0</v>
      </c>
      <c r="N276" s="38">
        <v>0</v>
      </c>
      <c r="O276" s="18">
        <f t="shared" si="381"/>
        <v>0</v>
      </c>
      <c r="P276" s="19">
        <v>0</v>
      </c>
      <c r="Q276" s="38">
        <v>0</v>
      </c>
      <c r="R276" s="38">
        <v>0</v>
      </c>
      <c r="S276" s="38">
        <v>0</v>
      </c>
      <c r="T276" s="18">
        <f t="shared" si="382"/>
        <v>0</v>
      </c>
      <c r="U276" s="19">
        <v>0</v>
      </c>
      <c r="V276" s="38">
        <v>0</v>
      </c>
      <c r="W276" s="38">
        <f>1149.4-1149.4</f>
        <v>0</v>
      </c>
      <c r="X276" s="38">
        <v>0</v>
      </c>
      <c r="Y276" s="18">
        <f t="shared" si="383"/>
        <v>0</v>
      </c>
      <c r="Z276" s="19">
        <v>0</v>
      </c>
      <c r="AA276" s="38">
        <v>0</v>
      </c>
      <c r="AB276" s="38">
        <f>2635-967.3-1667.7</f>
        <v>0</v>
      </c>
      <c r="AC276" s="38">
        <v>0</v>
      </c>
      <c r="AD276" s="18">
        <f t="shared" si="384"/>
        <v>1667.7</v>
      </c>
      <c r="AE276" s="19">
        <v>0</v>
      </c>
      <c r="AF276" s="38">
        <v>0</v>
      </c>
      <c r="AG276" s="38">
        <v>1667.7</v>
      </c>
      <c r="AH276" s="38">
        <v>0</v>
      </c>
      <c r="AI276" s="18">
        <f t="shared" si="385"/>
        <v>0</v>
      </c>
      <c r="AJ276" s="19">
        <v>0</v>
      </c>
      <c r="AK276" s="38">
        <v>0</v>
      </c>
      <c r="AL276" s="38">
        <v>0</v>
      </c>
      <c r="AM276" s="38">
        <v>0</v>
      </c>
    </row>
    <row r="277" spans="1:39" s="2" customFormat="1" ht="47.25" outlineLevel="2" x14ac:dyDescent="0.25">
      <c r="A277" s="8" t="s">
        <v>1052</v>
      </c>
      <c r="B277" s="29" t="s">
        <v>1054</v>
      </c>
      <c r="C277" s="26" t="s">
        <v>32</v>
      </c>
      <c r="D277" s="31" t="s">
        <v>8</v>
      </c>
      <c r="E277" s="20">
        <f t="shared" ref="E277" si="386">SUM(F277:I277)</f>
        <v>1270.5999999999999</v>
      </c>
      <c r="F277" s="38">
        <f t="shared" ref="F277" si="387">K277+P277+U277</f>
        <v>0</v>
      </c>
      <c r="G277" s="38">
        <f t="shared" ref="G277" si="388">L277+Q277+V277+AA277+AF277+AK277</f>
        <v>0</v>
      </c>
      <c r="H277" s="38">
        <f t="shared" ref="H277" si="389">M277+R277+W277+AB277+AG277+AL277</f>
        <v>1270.5999999999999</v>
      </c>
      <c r="I277" s="38">
        <f t="shared" ref="I277" si="390">N277+S277+X277+AC277+AH277+AM277</f>
        <v>0</v>
      </c>
      <c r="J277" s="18">
        <f t="shared" si="380"/>
        <v>0</v>
      </c>
      <c r="K277" s="19">
        <v>0</v>
      </c>
      <c r="L277" s="38">
        <v>0</v>
      </c>
      <c r="M277" s="50">
        <v>0</v>
      </c>
      <c r="N277" s="38">
        <v>0</v>
      </c>
      <c r="O277" s="18">
        <f t="shared" si="381"/>
        <v>0</v>
      </c>
      <c r="P277" s="19">
        <v>0</v>
      </c>
      <c r="Q277" s="38">
        <v>0</v>
      </c>
      <c r="R277" s="38">
        <v>0</v>
      </c>
      <c r="S277" s="38">
        <v>0</v>
      </c>
      <c r="T277" s="18">
        <f t="shared" si="382"/>
        <v>0</v>
      </c>
      <c r="U277" s="19">
        <v>0</v>
      </c>
      <c r="V277" s="38">
        <v>0</v>
      </c>
      <c r="W277" s="38">
        <f>1149.4-1149.4</f>
        <v>0</v>
      </c>
      <c r="X277" s="38">
        <v>0</v>
      </c>
      <c r="Y277" s="18">
        <f t="shared" si="383"/>
        <v>0</v>
      </c>
      <c r="Z277" s="19">
        <v>0</v>
      </c>
      <c r="AA277" s="38">
        <v>0</v>
      </c>
      <c r="AB277" s="38">
        <f>1694.4-1694.4</f>
        <v>0</v>
      </c>
      <c r="AC277" s="38">
        <v>0</v>
      </c>
      <c r="AD277" s="18">
        <f t="shared" si="384"/>
        <v>1270.5999999999999</v>
      </c>
      <c r="AE277" s="19">
        <v>0</v>
      </c>
      <c r="AF277" s="38">
        <v>0</v>
      </c>
      <c r="AG277" s="38">
        <v>1270.5999999999999</v>
      </c>
      <c r="AH277" s="38">
        <v>0</v>
      </c>
      <c r="AI277" s="18">
        <f t="shared" si="385"/>
        <v>0</v>
      </c>
      <c r="AJ277" s="19">
        <v>0</v>
      </c>
      <c r="AK277" s="38">
        <v>0</v>
      </c>
      <c r="AL277" s="38">
        <v>0</v>
      </c>
      <c r="AM277" s="38">
        <v>0</v>
      </c>
    </row>
    <row r="278" spans="1:39" s="2" customFormat="1" ht="47.25" outlineLevel="2" x14ac:dyDescent="0.25">
      <c r="A278" s="8" t="s">
        <v>1053</v>
      </c>
      <c r="B278" s="29" t="s">
        <v>1055</v>
      </c>
      <c r="C278" s="26" t="s">
        <v>32</v>
      </c>
      <c r="D278" s="31" t="s">
        <v>8</v>
      </c>
      <c r="E278" s="20">
        <f t="shared" ref="E278" si="391">SUM(F278:I278)</f>
        <v>1181.8</v>
      </c>
      <c r="F278" s="38">
        <f t="shared" ref="F278" si="392">K278+P278+U278</f>
        <v>0</v>
      </c>
      <c r="G278" s="38">
        <f t="shared" ref="G278" si="393">L278+Q278+V278+AA278+AF278+AK278</f>
        <v>0</v>
      </c>
      <c r="H278" s="38">
        <f t="shared" ref="H278" si="394">M278+R278+W278+AB278+AG278+AL278</f>
        <v>1181.8</v>
      </c>
      <c r="I278" s="38">
        <f t="shared" ref="I278" si="395">N278+S278+X278+AC278+AH278+AM278</f>
        <v>0</v>
      </c>
      <c r="J278" s="18">
        <f t="shared" si="380"/>
        <v>0</v>
      </c>
      <c r="K278" s="19">
        <v>0</v>
      </c>
      <c r="L278" s="38">
        <v>0</v>
      </c>
      <c r="M278" s="50">
        <v>0</v>
      </c>
      <c r="N278" s="38">
        <v>0</v>
      </c>
      <c r="O278" s="18">
        <f t="shared" si="381"/>
        <v>0</v>
      </c>
      <c r="P278" s="19">
        <v>0</v>
      </c>
      <c r="Q278" s="38">
        <v>0</v>
      </c>
      <c r="R278" s="38">
        <v>0</v>
      </c>
      <c r="S278" s="38">
        <v>0</v>
      </c>
      <c r="T278" s="18">
        <f t="shared" si="382"/>
        <v>0</v>
      </c>
      <c r="U278" s="19">
        <v>0</v>
      </c>
      <c r="V278" s="38">
        <v>0</v>
      </c>
      <c r="W278" s="38">
        <f>1149.4-1149.4</f>
        <v>0</v>
      </c>
      <c r="X278" s="38">
        <v>0</v>
      </c>
      <c r="Y278" s="18">
        <f t="shared" si="383"/>
        <v>0</v>
      </c>
      <c r="Z278" s="19">
        <v>0</v>
      </c>
      <c r="AA278" s="38">
        <v>0</v>
      </c>
      <c r="AB278" s="38">
        <f>1288.7-1288.7</f>
        <v>0</v>
      </c>
      <c r="AC278" s="38">
        <v>0</v>
      </c>
      <c r="AD278" s="18">
        <f t="shared" si="384"/>
        <v>1181.8</v>
      </c>
      <c r="AE278" s="19">
        <v>0</v>
      </c>
      <c r="AF278" s="38">
        <v>0</v>
      </c>
      <c r="AG278" s="38">
        <v>1181.8</v>
      </c>
      <c r="AH278" s="38">
        <v>0</v>
      </c>
      <c r="AI278" s="18">
        <f t="shared" si="385"/>
        <v>0</v>
      </c>
      <c r="AJ278" s="19">
        <v>0</v>
      </c>
      <c r="AK278" s="38">
        <v>0</v>
      </c>
      <c r="AL278" s="38">
        <v>0</v>
      </c>
      <c r="AM278" s="38">
        <v>0</v>
      </c>
    </row>
    <row r="279" spans="1:39" s="2" customFormat="1" ht="78.75" outlineLevel="2" x14ac:dyDescent="0.25">
      <c r="A279" s="8" t="s">
        <v>1132</v>
      </c>
      <c r="B279" s="29" t="s">
        <v>1133</v>
      </c>
      <c r="C279" s="26" t="s">
        <v>32</v>
      </c>
      <c r="D279" s="31" t="s">
        <v>8</v>
      </c>
      <c r="E279" s="20">
        <f t="shared" ref="E279" si="396">SUM(F279:I279)</f>
        <v>5130.6000000000004</v>
      </c>
      <c r="F279" s="38">
        <f t="shared" ref="F279" si="397">K279+P279+U279</f>
        <v>0</v>
      </c>
      <c r="G279" s="38">
        <f t="shared" ref="G279" si="398">L279+Q279+V279+AA279+AF279+AK279</f>
        <v>0</v>
      </c>
      <c r="H279" s="38">
        <f t="shared" ref="H279" si="399">M279+R279+W279+AB279+AG279+AL279</f>
        <v>5130.6000000000004</v>
      </c>
      <c r="I279" s="38">
        <f t="shared" ref="I279" si="400">N279+S279+X279+AC279+AH279+AM279</f>
        <v>0</v>
      </c>
      <c r="J279" s="18">
        <f t="shared" si="380"/>
        <v>0</v>
      </c>
      <c r="K279" s="19">
        <v>0</v>
      </c>
      <c r="L279" s="38">
        <v>0</v>
      </c>
      <c r="M279" s="50">
        <v>0</v>
      </c>
      <c r="N279" s="38">
        <v>0</v>
      </c>
      <c r="O279" s="18">
        <f t="shared" si="381"/>
        <v>0</v>
      </c>
      <c r="P279" s="19">
        <v>0</v>
      </c>
      <c r="Q279" s="38">
        <v>0</v>
      </c>
      <c r="R279" s="38">
        <v>0</v>
      </c>
      <c r="S279" s="38">
        <v>0</v>
      </c>
      <c r="T279" s="18">
        <f t="shared" si="382"/>
        <v>0</v>
      </c>
      <c r="U279" s="19">
        <v>0</v>
      </c>
      <c r="V279" s="38">
        <v>0</v>
      </c>
      <c r="W279" s="38">
        <f>1149.4-1149.4</f>
        <v>0</v>
      </c>
      <c r="X279" s="38">
        <v>0</v>
      </c>
      <c r="Y279" s="18">
        <f t="shared" si="383"/>
        <v>0</v>
      </c>
      <c r="Z279" s="19">
        <v>0</v>
      </c>
      <c r="AA279" s="38">
        <v>0</v>
      </c>
      <c r="AB279" s="38">
        <v>0</v>
      </c>
      <c r="AC279" s="38">
        <v>0</v>
      </c>
      <c r="AD279" s="18">
        <f t="shared" si="384"/>
        <v>5130.6000000000004</v>
      </c>
      <c r="AE279" s="19">
        <v>0</v>
      </c>
      <c r="AF279" s="38">
        <v>0</v>
      </c>
      <c r="AG279" s="38">
        <v>5130.6000000000004</v>
      </c>
      <c r="AH279" s="38">
        <v>0</v>
      </c>
      <c r="AI279" s="18">
        <f t="shared" si="385"/>
        <v>0</v>
      </c>
      <c r="AJ279" s="19">
        <v>0</v>
      </c>
      <c r="AK279" s="38">
        <v>0</v>
      </c>
      <c r="AL279" s="38">
        <v>0</v>
      </c>
      <c r="AM279" s="38">
        <v>0</v>
      </c>
    </row>
    <row r="280" spans="1:39" s="5" customFormat="1" ht="39" customHeight="1" outlineLevel="1" x14ac:dyDescent="0.25">
      <c r="A280" s="165" t="s">
        <v>192</v>
      </c>
      <c r="B280" s="194" t="s">
        <v>40</v>
      </c>
      <c r="C280" s="195"/>
      <c r="D280" s="195"/>
      <c r="E280" s="18">
        <f>SUM(E281:E316)</f>
        <v>114817.7</v>
      </c>
      <c r="F280" s="18">
        <f t="shared" ref="F280:AM280" si="401">SUM(F281:F316)</f>
        <v>0</v>
      </c>
      <c r="G280" s="18">
        <f t="shared" si="401"/>
        <v>54062.899999999994</v>
      </c>
      <c r="H280" s="18">
        <f t="shared" si="401"/>
        <v>59712.499999999985</v>
      </c>
      <c r="I280" s="18">
        <f t="shared" si="401"/>
        <v>1042.3000000000002</v>
      </c>
      <c r="J280" s="18">
        <f t="shared" si="401"/>
        <v>37628.9</v>
      </c>
      <c r="K280" s="18">
        <f t="shared" si="401"/>
        <v>0</v>
      </c>
      <c r="L280" s="18">
        <f t="shared" si="401"/>
        <v>10000</v>
      </c>
      <c r="M280" s="18">
        <f t="shared" si="401"/>
        <v>27280.799999999999</v>
      </c>
      <c r="N280" s="18">
        <f t="shared" si="401"/>
        <v>348.1</v>
      </c>
      <c r="O280" s="18">
        <f t="shared" si="401"/>
        <v>12426.300000000001</v>
      </c>
      <c r="P280" s="18">
        <f t="shared" si="401"/>
        <v>0</v>
      </c>
      <c r="Q280" s="18">
        <f t="shared" si="401"/>
        <v>10000</v>
      </c>
      <c r="R280" s="18">
        <f t="shared" si="401"/>
        <v>2370.1999999999998</v>
      </c>
      <c r="S280" s="18">
        <f t="shared" si="401"/>
        <v>56.1</v>
      </c>
      <c r="T280" s="18">
        <f t="shared" si="401"/>
        <v>13872.1</v>
      </c>
      <c r="U280" s="18">
        <f t="shared" si="401"/>
        <v>0</v>
      </c>
      <c r="V280" s="18">
        <f t="shared" si="401"/>
        <v>12207.7</v>
      </c>
      <c r="W280" s="18">
        <f t="shared" si="401"/>
        <v>1509.1000000000004</v>
      </c>
      <c r="X280" s="18">
        <f>SUM(X281:X316)</f>
        <v>155.30000000000001</v>
      </c>
      <c r="Y280" s="18">
        <f t="shared" si="401"/>
        <v>49107.499999999993</v>
      </c>
      <c r="Z280" s="18">
        <f t="shared" si="401"/>
        <v>0</v>
      </c>
      <c r="AA280" s="18">
        <f t="shared" si="401"/>
        <v>21855.200000000001</v>
      </c>
      <c r="AB280" s="18">
        <f t="shared" si="401"/>
        <v>26769.499999999996</v>
      </c>
      <c r="AC280" s="18">
        <f t="shared" si="401"/>
        <v>482.8</v>
      </c>
      <c r="AD280" s="18">
        <f t="shared" si="401"/>
        <v>874.00000000000011</v>
      </c>
      <c r="AE280" s="18">
        <f t="shared" si="401"/>
        <v>0</v>
      </c>
      <c r="AF280" s="18">
        <f t="shared" si="401"/>
        <v>0</v>
      </c>
      <c r="AG280" s="18">
        <f t="shared" si="401"/>
        <v>874.00000000000011</v>
      </c>
      <c r="AH280" s="18">
        <f t="shared" si="401"/>
        <v>0</v>
      </c>
      <c r="AI280" s="18">
        <f t="shared" si="401"/>
        <v>908.90000000000009</v>
      </c>
      <c r="AJ280" s="18">
        <f t="shared" si="401"/>
        <v>0</v>
      </c>
      <c r="AK280" s="18">
        <f t="shared" si="401"/>
        <v>0</v>
      </c>
      <c r="AL280" s="18">
        <f t="shared" si="401"/>
        <v>908.90000000000009</v>
      </c>
      <c r="AM280" s="18">
        <f t="shared" si="401"/>
        <v>0</v>
      </c>
    </row>
    <row r="281" spans="1:39" s="2" customFormat="1" ht="78.75" outlineLevel="2" x14ac:dyDescent="0.25">
      <c r="A281" s="8" t="s">
        <v>105</v>
      </c>
      <c r="B281" s="32" t="s">
        <v>39</v>
      </c>
      <c r="C281" s="26" t="s">
        <v>376</v>
      </c>
      <c r="D281" s="26" t="s">
        <v>118</v>
      </c>
      <c r="E281" s="20">
        <f t="shared" ref="E281:E325" si="402">SUM(F281:I281)</f>
        <v>2244.7000000000003</v>
      </c>
      <c r="F281" s="38">
        <f t="shared" ref="F281:F316" si="403">K281+P281+U281</f>
        <v>0</v>
      </c>
      <c r="G281" s="38">
        <f>L281+Q281+V281+AA281+AF281+AK281</f>
        <v>0</v>
      </c>
      <c r="H281" s="38">
        <f>M281+R281+W281+AB281+AG281+AL281</f>
        <v>2244.7000000000003</v>
      </c>
      <c r="I281" s="38">
        <f t="shared" ref="I281:I325" si="404">N281+S281+X281+AC281+AH281+AM281</f>
        <v>0</v>
      </c>
      <c r="J281" s="18">
        <f t="shared" ref="J281:J325" si="405">SUM(K281:N281)</f>
        <v>2244.7000000000003</v>
      </c>
      <c r="K281" s="19">
        <v>0</v>
      </c>
      <c r="L281" s="19">
        <f>3747.9-3747.9</f>
        <v>0</v>
      </c>
      <c r="M281" s="19">
        <f>3747.9+115.9-1619.1</f>
        <v>2244.7000000000003</v>
      </c>
      <c r="N281" s="19">
        <v>0</v>
      </c>
      <c r="O281" s="18">
        <f t="shared" ref="O281:O325" si="406">SUM(P281:S281)</f>
        <v>0</v>
      </c>
      <c r="P281" s="19">
        <v>0</v>
      </c>
      <c r="Q281" s="19">
        <v>0</v>
      </c>
      <c r="R281" s="19">
        <v>0</v>
      </c>
      <c r="S281" s="19">
        <v>0</v>
      </c>
      <c r="T281" s="18">
        <f t="shared" ref="T281:T325" si="407">SUM(U281:X281)</f>
        <v>0</v>
      </c>
      <c r="U281" s="19">
        <v>0</v>
      </c>
      <c r="V281" s="19">
        <v>0</v>
      </c>
      <c r="W281" s="19">
        <v>0</v>
      </c>
      <c r="X281" s="19">
        <v>0</v>
      </c>
      <c r="Y281" s="18">
        <f t="shared" ref="Y281:Y325" si="408">SUM(Z281:AC281)</f>
        <v>0</v>
      </c>
      <c r="Z281" s="19">
        <v>0</v>
      </c>
      <c r="AA281" s="19">
        <v>0</v>
      </c>
      <c r="AB281" s="19">
        <v>0</v>
      </c>
      <c r="AC281" s="19">
        <v>0</v>
      </c>
      <c r="AD281" s="18">
        <f>SUM(AE281:AH281)</f>
        <v>0</v>
      </c>
      <c r="AE281" s="19">
        <v>0</v>
      </c>
      <c r="AF281" s="19">
        <v>0</v>
      </c>
      <c r="AG281" s="19">
        <v>0</v>
      </c>
      <c r="AH281" s="19">
        <v>0</v>
      </c>
      <c r="AI281" s="18">
        <f>SUM(AJ281:AM281)</f>
        <v>0</v>
      </c>
      <c r="AJ281" s="19">
        <v>0</v>
      </c>
      <c r="AK281" s="19">
        <v>0</v>
      </c>
      <c r="AL281" s="19">
        <v>0</v>
      </c>
      <c r="AM281" s="19">
        <v>0</v>
      </c>
    </row>
    <row r="282" spans="1:39" s="2" customFormat="1" ht="78.75" outlineLevel="2" x14ac:dyDescent="0.25">
      <c r="A282" s="8" t="s">
        <v>367</v>
      </c>
      <c r="B282" s="49" t="s">
        <v>427</v>
      </c>
      <c r="C282" s="26" t="s">
        <v>376</v>
      </c>
      <c r="D282" s="31" t="s">
        <v>41</v>
      </c>
      <c r="E282" s="20">
        <f t="shared" si="402"/>
        <v>6140.7999999999993</v>
      </c>
      <c r="F282" s="38">
        <f t="shared" si="403"/>
        <v>0</v>
      </c>
      <c r="G282" s="38">
        <f t="shared" ref="G282:G325" si="409">L282+Q282+V282+AA282+AF282+AK282</f>
        <v>5897</v>
      </c>
      <c r="H282" s="38">
        <f t="shared" ref="H282:H325" si="410">M282+R282+W282+AB282+AG282+AL282</f>
        <v>182.4</v>
      </c>
      <c r="I282" s="38">
        <f t="shared" si="404"/>
        <v>61.4</v>
      </c>
      <c r="J282" s="18">
        <f t="shared" si="405"/>
        <v>6140.7999999999993</v>
      </c>
      <c r="K282" s="19">
        <v>0</v>
      </c>
      <c r="L282" s="19">
        <v>5897</v>
      </c>
      <c r="M282" s="51">
        <v>182.4</v>
      </c>
      <c r="N282" s="19">
        <v>61.4</v>
      </c>
      <c r="O282" s="18">
        <f t="shared" si="406"/>
        <v>0</v>
      </c>
      <c r="P282" s="19">
        <v>0</v>
      </c>
      <c r="Q282" s="19">
        <v>0</v>
      </c>
      <c r="R282" s="19">
        <v>0</v>
      </c>
      <c r="S282" s="19">
        <v>0</v>
      </c>
      <c r="T282" s="18">
        <f t="shared" si="407"/>
        <v>0</v>
      </c>
      <c r="U282" s="19">
        <v>0</v>
      </c>
      <c r="V282" s="19">
        <v>0</v>
      </c>
      <c r="W282" s="19">
        <v>0</v>
      </c>
      <c r="X282" s="19">
        <v>0</v>
      </c>
      <c r="Y282" s="18">
        <f t="shared" si="408"/>
        <v>0</v>
      </c>
      <c r="Z282" s="19">
        <v>0</v>
      </c>
      <c r="AA282" s="19">
        <v>0</v>
      </c>
      <c r="AB282" s="19">
        <v>0</v>
      </c>
      <c r="AC282" s="19">
        <v>0</v>
      </c>
      <c r="AD282" s="18">
        <f t="shared" ref="AD282:AD325" si="411">SUM(AE282:AH282)</f>
        <v>0</v>
      </c>
      <c r="AE282" s="19">
        <v>0</v>
      </c>
      <c r="AF282" s="19">
        <v>0</v>
      </c>
      <c r="AG282" s="19">
        <v>0</v>
      </c>
      <c r="AH282" s="19">
        <v>0</v>
      </c>
      <c r="AI282" s="18">
        <f t="shared" ref="AI282:AI325" si="412">SUM(AJ282:AM282)</f>
        <v>0</v>
      </c>
      <c r="AJ282" s="19">
        <v>0</v>
      </c>
      <c r="AK282" s="19">
        <v>0</v>
      </c>
      <c r="AL282" s="19">
        <v>0</v>
      </c>
      <c r="AM282" s="19">
        <v>0</v>
      </c>
    </row>
    <row r="283" spans="1:39" s="2" customFormat="1" ht="47.25" outlineLevel="2" x14ac:dyDescent="0.25">
      <c r="A283" s="8" t="s">
        <v>451</v>
      </c>
      <c r="B283" s="52" t="s">
        <v>397</v>
      </c>
      <c r="C283" s="26" t="s">
        <v>32</v>
      </c>
      <c r="D283" s="31" t="s">
        <v>41</v>
      </c>
      <c r="E283" s="20">
        <f t="shared" si="402"/>
        <v>1497</v>
      </c>
      <c r="F283" s="38">
        <f t="shared" si="403"/>
        <v>0</v>
      </c>
      <c r="G283" s="38">
        <f t="shared" si="409"/>
        <v>1218.2</v>
      </c>
      <c r="H283" s="38">
        <f t="shared" si="410"/>
        <v>263.8</v>
      </c>
      <c r="I283" s="38">
        <f t="shared" si="404"/>
        <v>15</v>
      </c>
      <c r="J283" s="18">
        <f t="shared" si="405"/>
        <v>1497</v>
      </c>
      <c r="K283" s="19">
        <v>0</v>
      </c>
      <c r="L283" s="19">
        <v>1218.2</v>
      </c>
      <c r="M283" s="51">
        <f>37.7+226.1</f>
        <v>263.8</v>
      </c>
      <c r="N283" s="19">
        <f>12.7+2.3</f>
        <v>15</v>
      </c>
      <c r="O283" s="18">
        <f t="shared" si="406"/>
        <v>0</v>
      </c>
      <c r="P283" s="19">
        <v>0</v>
      </c>
      <c r="Q283" s="19">
        <v>0</v>
      </c>
      <c r="R283" s="19">
        <v>0</v>
      </c>
      <c r="S283" s="19">
        <v>0</v>
      </c>
      <c r="T283" s="18">
        <f t="shared" si="407"/>
        <v>0</v>
      </c>
      <c r="U283" s="19">
        <v>0</v>
      </c>
      <c r="V283" s="19">
        <v>0</v>
      </c>
      <c r="W283" s="19">
        <v>0</v>
      </c>
      <c r="X283" s="19">
        <v>0</v>
      </c>
      <c r="Y283" s="18">
        <f t="shared" si="408"/>
        <v>0</v>
      </c>
      <c r="Z283" s="19">
        <v>0</v>
      </c>
      <c r="AA283" s="19">
        <v>0</v>
      </c>
      <c r="AB283" s="19">
        <v>0</v>
      </c>
      <c r="AC283" s="19">
        <v>0</v>
      </c>
      <c r="AD283" s="18">
        <f t="shared" si="411"/>
        <v>0</v>
      </c>
      <c r="AE283" s="19">
        <v>0</v>
      </c>
      <c r="AF283" s="19">
        <v>0</v>
      </c>
      <c r="AG283" s="19">
        <v>0</v>
      </c>
      <c r="AH283" s="19">
        <v>0</v>
      </c>
      <c r="AI283" s="18">
        <f t="shared" si="412"/>
        <v>0</v>
      </c>
      <c r="AJ283" s="19">
        <v>0</v>
      </c>
      <c r="AK283" s="19">
        <v>0</v>
      </c>
      <c r="AL283" s="19">
        <v>0</v>
      </c>
      <c r="AM283" s="19">
        <v>0</v>
      </c>
    </row>
    <row r="284" spans="1:39" s="2" customFormat="1" ht="63" outlineLevel="2" x14ac:dyDescent="0.25">
      <c r="A284" s="8" t="s">
        <v>452</v>
      </c>
      <c r="B284" s="52" t="s">
        <v>428</v>
      </c>
      <c r="C284" s="26" t="s">
        <v>32</v>
      </c>
      <c r="D284" s="31" t="s">
        <v>41</v>
      </c>
      <c r="E284" s="20">
        <f t="shared" si="402"/>
        <v>1960.8</v>
      </c>
      <c r="F284" s="38">
        <f t="shared" si="403"/>
        <v>0</v>
      </c>
      <c r="G284" s="38">
        <f t="shared" si="409"/>
        <v>1883</v>
      </c>
      <c r="H284" s="38">
        <f t="shared" si="410"/>
        <v>58.2</v>
      </c>
      <c r="I284" s="38">
        <f t="shared" si="404"/>
        <v>19.600000000000001</v>
      </c>
      <c r="J284" s="18">
        <f t="shared" si="405"/>
        <v>1960.8</v>
      </c>
      <c r="K284" s="19">
        <v>0</v>
      </c>
      <c r="L284" s="19">
        <v>1883</v>
      </c>
      <c r="M284" s="51">
        <v>58.2</v>
      </c>
      <c r="N284" s="19">
        <v>19.600000000000001</v>
      </c>
      <c r="O284" s="18">
        <f t="shared" si="406"/>
        <v>0</v>
      </c>
      <c r="P284" s="19">
        <v>0</v>
      </c>
      <c r="Q284" s="19">
        <v>0</v>
      </c>
      <c r="R284" s="19">
        <v>0</v>
      </c>
      <c r="S284" s="19">
        <v>0</v>
      </c>
      <c r="T284" s="18">
        <f t="shared" si="407"/>
        <v>0</v>
      </c>
      <c r="U284" s="19">
        <v>0</v>
      </c>
      <c r="V284" s="19">
        <v>0</v>
      </c>
      <c r="W284" s="19">
        <v>0</v>
      </c>
      <c r="X284" s="19">
        <v>0</v>
      </c>
      <c r="Y284" s="18">
        <f t="shared" si="408"/>
        <v>0</v>
      </c>
      <c r="Z284" s="19">
        <v>0</v>
      </c>
      <c r="AA284" s="19">
        <v>0</v>
      </c>
      <c r="AB284" s="19">
        <v>0</v>
      </c>
      <c r="AC284" s="19">
        <v>0</v>
      </c>
      <c r="AD284" s="18">
        <f t="shared" si="411"/>
        <v>0</v>
      </c>
      <c r="AE284" s="19">
        <v>0</v>
      </c>
      <c r="AF284" s="19">
        <v>0</v>
      </c>
      <c r="AG284" s="19">
        <v>0</v>
      </c>
      <c r="AH284" s="19">
        <v>0</v>
      </c>
      <c r="AI284" s="18">
        <f t="shared" si="412"/>
        <v>0</v>
      </c>
      <c r="AJ284" s="19">
        <v>0</v>
      </c>
      <c r="AK284" s="19">
        <v>0</v>
      </c>
      <c r="AL284" s="19">
        <v>0</v>
      </c>
      <c r="AM284" s="19">
        <v>0</v>
      </c>
    </row>
    <row r="285" spans="1:39" s="2" customFormat="1" ht="116.25" customHeight="1" outlineLevel="2" x14ac:dyDescent="0.25">
      <c r="A285" s="8" t="s">
        <v>453</v>
      </c>
      <c r="B285" s="52" t="s">
        <v>398</v>
      </c>
      <c r="C285" s="26" t="s">
        <v>32</v>
      </c>
      <c r="D285" s="31" t="s">
        <v>41</v>
      </c>
      <c r="E285" s="20">
        <f t="shared" si="402"/>
        <v>1860.2999999999997</v>
      </c>
      <c r="F285" s="38">
        <f t="shared" si="403"/>
        <v>0</v>
      </c>
      <c r="G285" s="38">
        <f t="shared" si="409"/>
        <v>1001.8</v>
      </c>
      <c r="H285" s="38">
        <f t="shared" si="410"/>
        <v>839.9</v>
      </c>
      <c r="I285" s="38">
        <f t="shared" si="404"/>
        <v>18.600000000000001</v>
      </c>
      <c r="J285" s="18">
        <f t="shared" si="405"/>
        <v>1860.2999999999997</v>
      </c>
      <c r="K285" s="19">
        <v>0</v>
      </c>
      <c r="L285" s="19">
        <v>1001.8</v>
      </c>
      <c r="M285" s="51">
        <v>839.9</v>
      </c>
      <c r="N285" s="19">
        <v>18.600000000000001</v>
      </c>
      <c r="O285" s="18">
        <f t="shared" si="406"/>
        <v>0</v>
      </c>
      <c r="P285" s="19">
        <v>0</v>
      </c>
      <c r="Q285" s="19">
        <v>0</v>
      </c>
      <c r="R285" s="19">
        <v>0</v>
      </c>
      <c r="S285" s="19">
        <v>0</v>
      </c>
      <c r="T285" s="18">
        <f t="shared" si="407"/>
        <v>0</v>
      </c>
      <c r="U285" s="19">
        <v>0</v>
      </c>
      <c r="V285" s="19">
        <v>0</v>
      </c>
      <c r="W285" s="19">
        <v>0</v>
      </c>
      <c r="X285" s="19">
        <v>0</v>
      </c>
      <c r="Y285" s="18">
        <f t="shared" si="408"/>
        <v>0</v>
      </c>
      <c r="Z285" s="19">
        <v>0</v>
      </c>
      <c r="AA285" s="19">
        <v>0</v>
      </c>
      <c r="AB285" s="19">
        <v>0</v>
      </c>
      <c r="AC285" s="19">
        <v>0</v>
      </c>
      <c r="AD285" s="18">
        <f t="shared" si="411"/>
        <v>0</v>
      </c>
      <c r="AE285" s="19">
        <v>0</v>
      </c>
      <c r="AF285" s="19">
        <v>0</v>
      </c>
      <c r="AG285" s="19">
        <v>0</v>
      </c>
      <c r="AH285" s="19">
        <v>0</v>
      </c>
      <c r="AI285" s="18">
        <f t="shared" si="412"/>
        <v>0</v>
      </c>
      <c r="AJ285" s="19">
        <v>0</v>
      </c>
      <c r="AK285" s="19">
        <v>0</v>
      </c>
      <c r="AL285" s="19">
        <v>0</v>
      </c>
      <c r="AM285" s="19">
        <v>0</v>
      </c>
    </row>
    <row r="286" spans="1:39" s="2" customFormat="1" ht="47.25" outlineLevel="2" x14ac:dyDescent="0.25">
      <c r="A286" s="8" t="s">
        <v>417</v>
      </c>
      <c r="B286" s="52" t="s">
        <v>430</v>
      </c>
      <c r="C286" s="26" t="s">
        <v>32</v>
      </c>
      <c r="D286" s="31" t="s">
        <v>41</v>
      </c>
      <c r="E286" s="20">
        <f t="shared" si="402"/>
        <v>23355</v>
      </c>
      <c r="F286" s="38">
        <f t="shared" si="403"/>
        <v>0</v>
      </c>
      <c r="G286" s="38">
        <f t="shared" si="409"/>
        <v>0</v>
      </c>
      <c r="H286" s="38">
        <f t="shared" si="410"/>
        <v>23121.5</v>
      </c>
      <c r="I286" s="38">
        <f t="shared" si="404"/>
        <v>233.5</v>
      </c>
      <c r="J286" s="18">
        <f t="shared" si="405"/>
        <v>23355</v>
      </c>
      <c r="K286" s="19">
        <v>0</v>
      </c>
      <c r="L286" s="19">
        <v>0</v>
      </c>
      <c r="M286" s="51">
        <v>23121.5</v>
      </c>
      <c r="N286" s="19">
        <v>233.5</v>
      </c>
      <c r="O286" s="18">
        <f t="shared" si="406"/>
        <v>0</v>
      </c>
      <c r="P286" s="19">
        <v>0</v>
      </c>
      <c r="Q286" s="19">
        <v>0</v>
      </c>
      <c r="R286" s="19">
        <v>0</v>
      </c>
      <c r="S286" s="19">
        <v>0</v>
      </c>
      <c r="T286" s="18">
        <f t="shared" si="407"/>
        <v>0</v>
      </c>
      <c r="U286" s="19">
        <v>0</v>
      </c>
      <c r="V286" s="19">
        <v>0</v>
      </c>
      <c r="W286" s="19">
        <v>0</v>
      </c>
      <c r="X286" s="19">
        <v>0</v>
      </c>
      <c r="Y286" s="18">
        <f t="shared" si="408"/>
        <v>0</v>
      </c>
      <c r="Z286" s="19">
        <v>0</v>
      </c>
      <c r="AA286" s="19">
        <v>0</v>
      </c>
      <c r="AB286" s="19">
        <v>0</v>
      </c>
      <c r="AC286" s="19">
        <v>0</v>
      </c>
      <c r="AD286" s="18">
        <f t="shared" si="411"/>
        <v>0</v>
      </c>
      <c r="AE286" s="19">
        <v>0</v>
      </c>
      <c r="AF286" s="19">
        <v>0</v>
      </c>
      <c r="AG286" s="19">
        <v>0</v>
      </c>
      <c r="AH286" s="19">
        <v>0</v>
      </c>
      <c r="AI286" s="18">
        <f t="shared" si="412"/>
        <v>0</v>
      </c>
      <c r="AJ286" s="19">
        <v>0</v>
      </c>
      <c r="AK286" s="19">
        <v>0</v>
      </c>
      <c r="AL286" s="19">
        <v>0</v>
      </c>
      <c r="AM286" s="19">
        <v>0</v>
      </c>
    </row>
    <row r="287" spans="1:39" s="2" customFormat="1" ht="63" outlineLevel="2" x14ac:dyDescent="0.25">
      <c r="A287" s="8" t="s">
        <v>418</v>
      </c>
      <c r="B287" s="104" t="s">
        <v>735</v>
      </c>
      <c r="C287" s="26" t="s">
        <v>32</v>
      </c>
      <c r="D287" s="31" t="s">
        <v>41</v>
      </c>
      <c r="E287" s="20">
        <f t="shared" si="402"/>
        <v>3800.6</v>
      </c>
      <c r="F287" s="38">
        <f t="shared" si="403"/>
        <v>0</v>
      </c>
      <c r="G287" s="38">
        <f t="shared" ref="G287:I300" si="413">L287+Q287+V287+AA287+AF287+AK287</f>
        <v>3648.4</v>
      </c>
      <c r="H287" s="38">
        <f t="shared" si="413"/>
        <v>114.1</v>
      </c>
      <c r="I287" s="38">
        <f t="shared" si="413"/>
        <v>38.1</v>
      </c>
      <c r="J287" s="18">
        <f t="shared" si="405"/>
        <v>0</v>
      </c>
      <c r="K287" s="19">
        <v>0</v>
      </c>
      <c r="L287" s="19">
        <v>0</v>
      </c>
      <c r="M287" s="51">
        <v>0</v>
      </c>
      <c r="N287" s="19">
        <v>0</v>
      </c>
      <c r="O287" s="18">
        <f>Q287+R287+S287</f>
        <v>3800.6</v>
      </c>
      <c r="P287" s="19">
        <v>0</v>
      </c>
      <c r="Q287" s="19">
        <v>3648.4</v>
      </c>
      <c r="R287" s="19">
        <v>114.1</v>
      </c>
      <c r="S287" s="19">
        <v>38.1</v>
      </c>
      <c r="T287" s="18">
        <f t="shared" si="407"/>
        <v>0</v>
      </c>
      <c r="U287" s="19">
        <v>0</v>
      </c>
      <c r="V287" s="19">
        <v>0</v>
      </c>
      <c r="W287" s="19">
        <v>0</v>
      </c>
      <c r="X287" s="19">
        <v>0</v>
      </c>
      <c r="Y287" s="18">
        <f t="shared" si="408"/>
        <v>0</v>
      </c>
      <c r="Z287" s="19">
        <v>0</v>
      </c>
      <c r="AA287" s="19">
        <v>0</v>
      </c>
      <c r="AB287" s="19">
        <v>0</v>
      </c>
      <c r="AC287" s="19">
        <v>0</v>
      </c>
      <c r="AD287" s="18">
        <f t="shared" si="411"/>
        <v>0</v>
      </c>
      <c r="AE287" s="19">
        <v>0</v>
      </c>
      <c r="AF287" s="19">
        <v>0</v>
      </c>
      <c r="AG287" s="19">
        <v>0</v>
      </c>
      <c r="AH287" s="19">
        <v>0</v>
      </c>
      <c r="AI287" s="18">
        <f>SUM(AJ287:AM287)</f>
        <v>0</v>
      </c>
      <c r="AJ287" s="19">
        <v>0</v>
      </c>
      <c r="AK287" s="19">
        <v>0</v>
      </c>
      <c r="AL287" s="19">
        <v>0</v>
      </c>
      <c r="AM287" s="19">
        <v>0</v>
      </c>
    </row>
    <row r="288" spans="1:39" s="2" customFormat="1" ht="57" customHeight="1" outlineLevel="2" x14ac:dyDescent="0.25">
      <c r="A288" s="8" t="s">
        <v>454</v>
      </c>
      <c r="B288" s="104" t="s">
        <v>736</v>
      </c>
      <c r="C288" s="26" t="s">
        <v>32</v>
      </c>
      <c r="D288" s="31" t="s">
        <v>41</v>
      </c>
      <c r="E288" s="20">
        <f t="shared" si="402"/>
        <v>1795.8</v>
      </c>
      <c r="F288" s="38">
        <f t="shared" si="403"/>
        <v>0</v>
      </c>
      <c r="G288" s="38">
        <f t="shared" si="413"/>
        <v>1276.3</v>
      </c>
      <c r="H288" s="38">
        <f t="shared" si="413"/>
        <v>501.5</v>
      </c>
      <c r="I288" s="38">
        <f t="shared" si="413"/>
        <v>18</v>
      </c>
      <c r="J288" s="18">
        <f t="shared" si="405"/>
        <v>0</v>
      </c>
      <c r="K288" s="19">
        <v>0</v>
      </c>
      <c r="L288" s="19">
        <v>0</v>
      </c>
      <c r="M288" s="51">
        <v>0</v>
      </c>
      <c r="N288" s="19">
        <v>0</v>
      </c>
      <c r="O288" s="18">
        <f>Q288+R288+S288</f>
        <v>1795.8</v>
      </c>
      <c r="P288" s="19">
        <v>0</v>
      </c>
      <c r="Q288" s="19">
        <v>1276.3</v>
      </c>
      <c r="R288" s="19">
        <v>501.5</v>
      </c>
      <c r="S288" s="19">
        <v>18</v>
      </c>
      <c r="T288" s="18">
        <f t="shared" si="407"/>
        <v>0</v>
      </c>
      <c r="U288" s="19">
        <v>0</v>
      </c>
      <c r="V288" s="19">
        <v>0</v>
      </c>
      <c r="W288" s="19">
        <v>0</v>
      </c>
      <c r="X288" s="19">
        <v>0</v>
      </c>
      <c r="Y288" s="18">
        <f t="shared" si="408"/>
        <v>0</v>
      </c>
      <c r="Z288" s="19">
        <v>0</v>
      </c>
      <c r="AA288" s="19">
        <v>0</v>
      </c>
      <c r="AB288" s="19">
        <v>0</v>
      </c>
      <c r="AC288" s="19">
        <v>0</v>
      </c>
      <c r="AD288" s="18">
        <f t="shared" si="411"/>
        <v>0</v>
      </c>
      <c r="AE288" s="19">
        <v>0</v>
      </c>
      <c r="AF288" s="19">
        <v>0</v>
      </c>
      <c r="AG288" s="19">
        <v>0</v>
      </c>
      <c r="AH288" s="19">
        <v>0</v>
      </c>
      <c r="AI288" s="18">
        <f>SUM(AJ288:AM288)</f>
        <v>0</v>
      </c>
      <c r="AJ288" s="19">
        <v>0</v>
      </c>
      <c r="AK288" s="19">
        <v>0</v>
      </c>
      <c r="AL288" s="19">
        <v>0</v>
      </c>
      <c r="AM288" s="19">
        <v>0</v>
      </c>
    </row>
    <row r="289" spans="1:39" s="2" customFormat="1" ht="31.5" outlineLevel="2" x14ac:dyDescent="0.25">
      <c r="A289" s="8" t="s">
        <v>744</v>
      </c>
      <c r="B289" s="104" t="s">
        <v>745</v>
      </c>
      <c r="C289" s="26" t="s">
        <v>32</v>
      </c>
      <c r="D289" s="31" t="s">
        <v>118</v>
      </c>
      <c r="E289" s="20">
        <f>SUM(F289:I289)</f>
        <v>5232.3</v>
      </c>
      <c r="F289" s="38">
        <f t="shared" si="403"/>
        <v>0</v>
      </c>
      <c r="G289" s="38">
        <f t="shared" si="413"/>
        <v>5075.3</v>
      </c>
      <c r="H289" s="38">
        <f t="shared" si="413"/>
        <v>157</v>
      </c>
      <c r="I289" s="38">
        <f t="shared" si="413"/>
        <v>0</v>
      </c>
      <c r="J289" s="18">
        <f t="shared" si="405"/>
        <v>0</v>
      </c>
      <c r="K289" s="19">
        <v>0</v>
      </c>
      <c r="L289" s="19">
        <v>0</v>
      </c>
      <c r="M289" s="51">
        <v>0</v>
      </c>
      <c r="N289" s="19">
        <v>0</v>
      </c>
      <c r="O289" s="18">
        <f>Q289+R289+S289</f>
        <v>5232.3</v>
      </c>
      <c r="P289" s="19">
        <v>0</v>
      </c>
      <c r="Q289" s="19">
        <v>5075.3</v>
      </c>
      <c r="R289" s="19">
        <v>157</v>
      </c>
      <c r="S289" s="19">
        <v>0</v>
      </c>
      <c r="T289" s="18">
        <f t="shared" si="407"/>
        <v>0</v>
      </c>
      <c r="U289" s="19">
        <v>0</v>
      </c>
      <c r="V289" s="19">
        <v>0</v>
      </c>
      <c r="W289" s="19">
        <v>0</v>
      </c>
      <c r="X289" s="19">
        <v>0</v>
      </c>
      <c r="Y289" s="18">
        <f t="shared" si="408"/>
        <v>0</v>
      </c>
      <c r="Z289" s="19">
        <v>0</v>
      </c>
      <c r="AA289" s="19">
        <v>0</v>
      </c>
      <c r="AB289" s="19">
        <v>0</v>
      </c>
      <c r="AC289" s="19">
        <v>0</v>
      </c>
      <c r="AD289" s="18">
        <f t="shared" si="411"/>
        <v>0</v>
      </c>
      <c r="AE289" s="19">
        <v>0</v>
      </c>
      <c r="AF289" s="19">
        <v>0</v>
      </c>
      <c r="AG289" s="19">
        <v>0</v>
      </c>
      <c r="AH289" s="19">
        <v>0</v>
      </c>
      <c r="AI289" s="18">
        <f>SUM(AJ289:AM289)</f>
        <v>0</v>
      </c>
      <c r="AJ289" s="19">
        <v>0</v>
      </c>
      <c r="AK289" s="19">
        <v>0</v>
      </c>
      <c r="AL289" s="19">
        <v>0</v>
      </c>
      <c r="AM289" s="19">
        <v>0</v>
      </c>
    </row>
    <row r="290" spans="1:39" s="2" customFormat="1" ht="84" customHeight="1" outlineLevel="2" x14ac:dyDescent="0.25">
      <c r="A290" s="8" t="s">
        <v>1001</v>
      </c>
      <c r="B290" s="122" t="s">
        <v>978</v>
      </c>
      <c r="C290" s="26" t="s">
        <v>32</v>
      </c>
      <c r="D290" s="31" t="s">
        <v>41</v>
      </c>
      <c r="E290" s="20">
        <f>SUM(F290:I290)</f>
        <v>176.20000000000002</v>
      </c>
      <c r="F290" s="38">
        <f t="shared" si="403"/>
        <v>0</v>
      </c>
      <c r="G290" s="38">
        <f t="shared" si="413"/>
        <v>0</v>
      </c>
      <c r="H290" s="38">
        <f t="shared" si="413"/>
        <v>174.4</v>
      </c>
      <c r="I290" s="38">
        <f t="shared" si="413"/>
        <v>1.8</v>
      </c>
      <c r="J290" s="18">
        <f>SUM(K290:N290)</f>
        <v>0</v>
      </c>
      <c r="K290" s="19">
        <v>0</v>
      </c>
      <c r="L290" s="19">
        <v>0</v>
      </c>
      <c r="M290" s="51">
        <v>0</v>
      </c>
      <c r="N290" s="19">
        <v>0</v>
      </c>
      <c r="O290" s="18">
        <f t="shared" ref="O290:O302" si="414">Q290+R290+S290</f>
        <v>0</v>
      </c>
      <c r="P290" s="19">
        <v>0</v>
      </c>
      <c r="Q290" s="19">
        <v>0</v>
      </c>
      <c r="R290" s="19">
        <v>0</v>
      </c>
      <c r="S290" s="19">
        <v>0</v>
      </c>
      <c r="T290" s="18">
        <f>V290+W290+X290</f>
        <v>176.20000000000002</v>
      </c>
      <c r="U290" s="19"/>
      <c r="V290" s="19">
        <v>0</v>
      </c>
      <c r="W290" s="19">
        <v>174.4</v>
      </c>
      <c r="X290" s="19">
        <v>1.8</v>
      </c>
      <c r="Y290" s="18">
        <f t="shared" ref="Y290" si="415">SUM(Z290:AC290)</f>
        <v>0</v>
      </c>
      <c r="Z290" s="19">
        <v>0</v>
      </c>
      <c r="AA290" s="19">
        <v>0</v>
      </c>
      <c r="AB290" s="19">
        <v>0</v>
      </c>
      <c r="AC290" s="19">
        <v>0</v>
      </c>
      <c r="AD290" s="18">
        <f t="shared" ref="AD290" si="416">SUM(AE290:AH290)</f>
        <v>0</v>
      </c>
      <c r="AE290" s="19">
        <v>0</v>
      </c>
      <c r="AF290" s="19">
        <v>0</v>
      </c>
      <c r="AG290" s="19">
        <v>0</v>
      </c>
      <c r="AH290" s="19">
        <v>0</v>
      </c>
      <c r="AI290" s="18">
        <f>SUM(AJ290:AM290)</f>
        <v>0</v>
      </c>
      <c r="AJ290" s="19">
        <v>0</v>
      </c>
      <c r="AK290" s="19">
        <v>0</v>
      </c>
      <c r="AL290" s="19">
        <v>0</v>
      </c>
      <c r="AM290" s="19">
        <v>0</v>
      </c>
    </row>
    <row r="291" spans="1:39" s="2" customFormat="1" ht="84" customHeight="1" outlineLevel="2" x14ac:dyDescent="0.25">
      <c r="A291" s="8" t="s">
        <v>822</v>
      </c>
      <c r="B291" s="143" t="s">
        <v>979</v>
      </c>
      <c r="C291" s="142" t="s">
        <v>32</v>
      </c>
      <c r="D291" s="139" t="s">
        <v>41</v>
      </c>
      <c r="E291" s="140">
        <f t="shared" ref="E291:E297" si="417">SUM(F291:I291)</f>
        <v>2335</v>
      </c>
      <c r="F291" s="141">
        <f t="shared" si="403"/>
        <v>0</v>
      </c>
      <c r="G291" s="141">
        <f t="shared" si="413"/>
        <v>2241.6</v>
      </c>
      <c r="H291" s="38">
        <f t="shared" si="413"/>
        <v>70.099999999999994</v>
      </c>
      <c r="I291" s="38">
        <f t="shared" si="413"/>
        <v>23.3</v>
      </c>
      <c r="J291" s="18">
        <f t="shared" ref="J291:J297" si="418">SUM(K291:N291)</f>
        <v>0</v>
      </c>
      <c r="K291" s="19">
        <v>0</v>
      </c>
      <c r="L291" s="19">
        <v>0</v>
      </c>
      <c r="M291" s="51">
        <v>0</v>
      </c>
      <c r="N291" s="19">
        <v>0</v>
      </c>
      <c r="O291" s="18">
        <f t="shared" si="414"/>
        <v>0</v>
      </c>
      <c r="P291" s="19">
        <v>0</v>
      </c>
      <c r="Q291" s="19">
        <v>0</v>
      </c>
      <c r="R291" s="19">
        <v>0</v>
      </c>
      <c r="S291" s="19">
        <v>0</v>
      </c>
      <c r="T291" s="18">
        <f t="shared" ref="T291:T302" si="419">V291+W291+X291</f>
        <v>2335</v>
      </c>
      <c r="U291" s="19"/>
      <c r="V291" s="144">
        <v>2241.6</v>
      </c>
      <c r="W291" s="145">
        <v>70.099999999999994</v>
      </c>
      <c r="X291" s="146">
        <v>23.3</v>
      </c>
      <c r="Y291" s="18">
        <f t="shared" ref="Y291:Y302" si="420">SUM(Z291:AC291)</f>
        <v>0</v>
      </c>
      <c r="Z291" s="19">
        <v>0</v>
      </c>
      <c r="AA291" s="19">
        <v>0</v>
      </c>
      <c r="AB291" s="19">
        <v>0</v>
      </c>
      <c r="AC291" s="19">
        <v>0</v>
      </c>
      <c r="AD291" s="18">
        <f t="shared" ref="AD291:AD302" si="421">SUM(AE291:AH291)</f>
        <v>0</v>
      </c>
      <c r="AE291" s="19">
        <v>0</v>
      </c>
      <c r="AF291" s="19">
        <v>0</v>
      </c>
      <c r="AG291" s="19">
        <v>0</v>
      </c>
      <c r="AH291" s="19">
        <v>0</v>
      </c>
      <c r="AI291" s="18">
        <f t="shared" ref="AI291:AI302" si="422">SUM(AJ291:AM291)</f>
        <v>0</v>
      </c>
      <c r="AJ291" s="19">
        <v>0</v>
      </c>
      <c r="AK291" s="19">
        <v>0</v>
      </c>
      <c r="AL291" s="19">
        <v>0</v>
      </c>
      <c r="AM291" s="19">
        <v>0</v>
      </c>
    </row>
    <row r="292" spans="1:39" s="2" customFormat="1" ht="84" customHeight="1" outlineLevel="2" x14ac:dyDescent="0.25">
      <c r="A292" s="8" t="s">
        <v>869</v>
      </c>
      <c r="B292" s="143" t="s">
        <v>981</v>
      </c>
      <c r="C292" s="142" t="s">
        <v>32</v>
      </c>
      <c r="D292" s="139" t="s">
        <v>41</v>
      </c>
      <c r="E292" s="140">
        <f t="shared" si="417"/>
        <v>751.80000000000007</v>
      </c>
      <c r="F292" s="141">
        <f t="shared" si="403"/>
        <v>0</v>
      </c>
      <c r="G292" s="141">
        <f t="shared" si="413"/>
        <v>721.7</v>
      </c>
      <c r="H292" s="38">
        <f t="shared" si="413"/>
        <v>22.6</v>
      </c>
      <c r="I292" s="38">
        <f t="shared" si="413"/>
        <v>7.5</v>
      </c>
      <c r="J292" s="18">
        <f t="shared" si="418"/>
        <v>0</v>
      </c>
      <c r="K292" s="19">
        <v>0</v>
      </c>
      <c r="L292" s="19">
        <v>0</v>
      </c>
      <c r="M292" s="51">
        <v>0</v>
      </c>
      <c r="N292" s="19">
        <v>0</v>
      </c>
      <c r="O292" s="18">
        <f t="shared" si="414"/>
        <v>0</v>
      </c>
      <c r="P292" s="19">
        <v>0</v>
      </c>
      <c r="Q292" s="19">
        <v>0</v>
      </c>
      <c r="R292" s="19">
        <v>0</v>
      </c>
      <c r="S292" s="19">
        <v>0</v>
      </c>
      <c r="T292" s="18">
        <f t="shared" si="419"/>
        <v>751.80000000000007</v>
      </c>
      <c r="U292" s="19"/>
      <c r="V292" s="147">
        <v>721.7</v>
      </c>
      <c r="W292" s="147">
        <v>22.6</v>
      </c>
      <c r="X292" s="146">
        <v>7.5</v>
      </c>
      <c r="Y292" s="18">
        <f t="shared" si="420"/>
        <v>0</v>
      </c>
      <c r="Z292" s="19">
        <v>0</v>
      </c>
      <c r="AA292" s="19">
        <v>0</v>
      </c>
      <c r="AB292" s="19">
        <v>0</v>
      </c>
      <c r="AC292" s="19">
        <v>0</v>
      </c>
      <c r="AD292" s="18">
        <f t="shared" si="421"/>
        <v>0</v>
      </c>
      <c r="AE292" s="19">
        <v>0</v>
      </c>
      <c r="AF292" s="19">
        <v>0</v>
      </c>
      <c r="AG292" s="19">
        <v>0</v>
      </c>
      <c r="AH292" s="19">
        <v>0</v>
      </c>
      <c r="AI292" s="18">
        <f t="shared" si="422"/>
        <v>0</v>
      </c>
      <c r="AJ292" s="19">
        <v>0</v>
      </c>
      <c r="AK292" s="19">
        <v>0</v>
      </c>
      <c r="AL292" s="19">
        <v>0</v>
      </c>
      <c r="AM292" s="19">
        <v>0</v>
      </c>
    </row>
    <row r="293" spans="1:39" s="2" customFormat="1" ht="115.5" customHeight="1" outlineLevel="2" x14ac:dyDescent="0.25">
      <c r="A293" s="8" t="s">
        <v>980</v>
      </c>
      <c r="B293" s="143" t="s">
        <v>983</v>
      </c>
      <c r="C293" s="142" t="s">
        <v>32</v>
      </c>
      <c r="D293" s="139" t="s">
        <v>41</v>
      </c>
      <c r="E293" s="140">
        <f t="shared" si="417"/>
        <v>1584.9</v>
      </c>
      <c r="F293" s="141">
        <f t="shared" si="403"/>
        <v>0</v>
      </c>
      <c r="G293" s="141">
        <f t="shared" si="413"/>
        <v>1521.5</v>
      </c>
      <c r="H293" s="38">
        <f t="shared" si="413"/>
        <v>47.5</v>
      </c>
      <c r="I293" s="38">
        <f t="shared" si="413"/>
        <v>15.9</v>
      </c>
      <c r="J293" s="18">
        <f t="shared" si="418"/>
        <v>0</v>
      </c>
      <c r="K293" s="19">
        <v>0</v>
      </c>
      <c r="L293" s="19">
        <v>0</v>
      </c>
      <c r="M293" s="51">
        <v>0</v>
      </c>
      <c r="N293" s="19">
        <v>0</v>
      </c>
      <c r="O293" s="18">
        <f t="shared" si="414"/>
        <v>0</v>
      </c>
      <c r="P293" s="19">
        <v>0</v>
      </c>
      <c r="Q293" s="19">
        <v>0</v>
      </c>
      <c r="R293" s="19">
        <v>0</v>
      </c>
      <c r="S293" s="19">
        <v>0</v>
      </c>
      <c r="T293" s="18">
        <f t="shared" si="419"/>
        <v>1584.9</v>
      </c>
      <c r="U293" s="19"/>
      <c r="V293" s="144">
        <v>1521.5</v>
      </c>
      <c r="W293" s="147">
        <v>47.5</v>
      </c>
      <c r="X293" s="146">
        <v>15.9</v>
      </c>
      <c r="Y293" s="18">
        <f t="shared" si="420"/>
        <v>0</v>
      </c>
      <c r="Z293" s="19">
        <v>0</v>
      </c>
      <c r="AA293" s="19">
        <v>0</v>
      </c>
      <c r="AB293" s="19">
        <v>0</v>
      </c>
      <c r="AC293" s="19">
        <v>0</v>
      </c>
      <c r="AD293" s="18">
        <f t="shared" si="421"/>
        <v>0</v>
      </c>
      <c r="AE293" s="19">
        <v>0</v>
      </c>
      <c r="AF293" s="19">
        <v>0</v>
      </c>
      <c r="AG293" s="19">
        <v>0</v>
      </c>
      <c r="AH293" s="19">
        <v>0</v>
      </c>
      <c r="AI293" s="18">
        <f t="shared" si="422"/>
        <v>0</v>
      </c>
      <c r="AJ293" s="19">
        <v>0</v>
      </c>
      <c r="AK293" s="19">
        <v>0</v>
      </c>
      <c r="AL293" s="19">
        <v>0</v>
      </c>
      <c r="AM293" s="19">
        <v>0</v>
      </c>
    </row>
    <row r="294" spans="1:39" s="2" customFormat="1" ht="99" customHeight="1" outlineLevel="2" x14ac:dyDescent="0.25">
      <c r="A294" s="8" t="s">
        <v>982</v>
      </c>
      <c r="B294" s="143" t="s">
        <v>985</v>
      </c>
      <c r="C294" s="142" t="s">
        <v>32</v>
      </c>
      <c r="D294" s="139" t="s">
        <v>41</v>
      </c>
      <c r="E294" s="140">
        <f t="shared" si="417"/>
        <v>734</v>
      </c>
      <c r="F294" s="141">
        <f t="shared" si="403"/>
        <v>0</v>
      </c>
      <c r="G294" s="141">
        <f t="shared" si="413"/>
        <v>704.6</v>
      </c>
      <c r="H294" s="38">
        <f t="shared" si="413"/>
        <v>22</v>
      </c>
      <c r="I294" s="38">
        <f t="shared" si="413"/>
        <v>7.4</v>
      </c>
      <c r="J294" s="18">
        <f t="shared" si="418"/>
        <v>0</v>
      </c>
      <c r="K294" s="19">
        <v>0</v>
      </c>
      <c r="L294" s="19">
        <v>0</v>
      </c>
      <c r="M294" s="51">
        <v>0</v>
      </c>
      <c r="N294" s="19">
        <v>0</v>
      </c>
      <c r="O294" s="18">
        <f t="shared" si="414"/>
        <v>0</v>
      </c>
      <c r="P294" s="19">
        <v>0</v>
      </c>
      <c r="Q294" s="19">
        <v>0</v>
      </c>
      <c r="R294" s="19">
        <v>0</v>
      </c>
      <c r="S294" s="19">
        <v>0</v>
      </c>
      <c r="T294" s="18">
        <f t="shared" si="419"/>
        <v>734</v>
      </c>
      <c r="U294" s="19"/>
      <c r="V294" s="147">
        <v>704.6</v>
      </c>
      <c r="W294" s="145">
        <v>22</v>
      </c>
      <c r="X294" s="146">
        <v>7.4</v>
      </c>
      <c r="Y294" s="18">
        <f t="shared" si="420"/>
        <v>0</v>
      </c>
      <c r="Z294" s="19">
        <v>0</v>
      </c>
      <c r="AA294" s="19">
        <v>0</v>
      </c>
      <c r="AB294" s="19">
        <v>0</v>
      </c>
      <c r="AC294" s="19">
        <v>0</v>
      </c>
      <c r="AD294" s="18">
        <f t="shared" si="421"/>
        <v>0</v>
      </c>
      <c r="AE294" s="19">
        <v>0</v>
      </c>
      <c r="AF294" s="19">
        <v>0</v>
      </c>
      <c r="AG294" s="19">
        <v>0</v>
      </c>
      <c r="AH294" s="19">
        <v>0</v>
      </c>
      <c r="AI294" s="18">
        <f t="shared" si="422"/>
        <v>0</v>
      </c>
      <c r="AJ294" s="19">
        <v>0</v>
      </c>
      <c r="AK294" s="19">
        <v>0</v>
      </c>
      <c r="AL294" s="19">
        <v>0</v>
      </c>
      <c r="AM294" s="19">
        <v>0</v>
      </c>
    </row>
    <row r="295" spans="1:39" s="2" customFormat="1" ht="84" customHeight="1" outlineLevel="2" x14ac:dyDescent="0.25">
      <c r="A295" s="8" t="s">
        <v>984</v>
      </c>
      <c r="B295" s="143" t="s">
        <v>987</v>
      </c>
      <c r="C295" s="142" t="s">
        <v>32</v>
      </c>
      <c r="D295" s="139" t="s">
        <v>41</v>
      </c>
      <c r="E295" s="140">
        <f t="shared" si="417"/>
        <v>599.20000000000005</v>
      </c>
      <c r="F295" s="141">
        <f t="shared" si="403"/>
        <v>0</v>
      </c>
      <c r="G295" s="141">
        <f t="shared" si="413"/>
        <v>575.20000000000005</v>
      </c>
      <c r="H295" s="38">
        <f t="shared" si="413"/>
        <v>18</v>
      </c>
      <c r="I295" s="38">
        <f t="shared" si="413"/>
        <v>6</v>
      </c>
      <c r="J295" s="18">
        <f t="shared" si="418"/>
        <v>0</v>
      </c>
      <c r="K295" s="19">
        <v>0</v>
      </c>
      <c r="L295" s="19">
        <v>0</v>
      </c>
      <c r="M295" s="51">
        <v>0</v>
      </c>
      <c r="N295" s="19">
        <v>0</v>
      </c>
      <c r="O295" s="18">
        <f t="shared" si="414"/>
        <v>0</v>
      </c>
      <c r="P295" s="19">
        <v>0</v>
      </c>
      <c r="Q295" s="19">
        <v>0</v>
      </c>
      <c r="R295" s="19">
        <v>0</v>
      </c>
      <c r="S295" s="19">
        <v>0</v>
      </c>
      <c r="T295" s="18">
        <f t="shared" si="419"/>
        <v>599.20000000000005</v>
      </c>
      <c r="U295" s="19"/>
      <c r="V295" s="147">
        <v>575.20000000000005</v>
      </c>
      <c r="W295" s="145">
        <v>18</v>
      </c>
      <c r="X295" s="146">
        <v>6</v>
      </c>
      <c r="Y295" s="18">
        <f t="shared" si="420"/>
        <v>0</v>
      </c>
      <c r="Z295" s="19">
        <v>0</v>
      </c>
      <c r="AA295" s="19">
        <v>0</v>
      </c>
      <c r="AB295" s="19">
        <v>0</v>
      </c>
      <c r="AC295" s="19">
        <v>0</v>
      </c>
      <c r="AD295" s="18">
        <f t="shared" si="421"/>
        <v>0</v>
      </c>
      <c r="AE295" s="19">
        <v>0</v>
      </c>
      <c r="AF295" s="19">
        <v>0</v>
      </c>
      <c r="AG295" s="19">
        <v>0</v>
      </c>
      <c r="AH295" s="19">
        <v>0</v>
      </c>
      <c r="AI295" s="18">
        <f t="shared" si="422"/>
        <v>0</v>
      </c>
      <c r="AJ295" s="19">
        <v>0</v>
      </c>
      <c r="AK295" s="19">
        <v>0</v>
      </c>
      <c r="AL295" s="19">
        <v>0</v>
      </c>
      <c r="AM295" s="19">
        <v>0</v>
      </c>
    </row>
    <row r="296" spans="1:39" s="2" customFormat="1" ht="84" customHeight="1" outlineLevel="2" x14ac:dyDescent="0.25">
      <c r="A296" s="8" t="s">
        <v>986</v>
      </c>
      <c r="B296" s="143" t="s">
        <v>989</v>
      </c>
      <c r="C296" s="142" t="s">
        <v>32</v>
      </c>
      <c r="D296" s="139" t="s">
        <v>41</v>
      </c>
      <c r="E296" s="140">
        <f t="shared" si="417"/>
        <v>741.69999999999993</v>
      </c>
      <c r="F296" s="141">
        <f t="shared" si="403"/>
        <v>0</v>
      </c>
      <c r="G296" s="141">
        <f t="shared" si="413"/>
        <v>712</v>
      </c>
      <c r="H296" s="38">
        <f t="shared" si="413"/>
        <v>22.3</v>
      </c>
      <c r="I296" s="38">
        <f t="shared" si="413"/>
        <v>7.4</v>
      </c>
      <c r="J296" s="18">
        <f t="shared" si="418"/>
        <v>0</v>
      </c>
      <c r="K296" s="19">
        <v>0</v>
      </c>
      <c r="L296" s="19">
        <v>0</v>
      </c>
      <c r="M296" s="51">
        <v>0</v>
      </c>
      <c r="N296" s="19">
        <v>0</v>
      </c>
      <c r="O296" s="18">
        <f t="shared" si="414"/>
        <v>0</v>
      </c>
      <c r="P296" s="19">
        <v>0</v>
      </c>
      <c r="Q296" s="19">
        <v>0</v>
      </c>
      <c r="R296" s="19">
        <v>0</v>
      </c>
      <c r="S296" s="19">
        <v>0</v>
      </c>
      <c r="T296" s="18">
        <f t="shared" si="419"/>
        <v>741.69999999999993</v>
      </c>
      <c r="U296" s="19"/>
      <c r="V296" s="145">
        <v>712</v>
      </c>
      <c r="W296" s="147">
        <v>22.3</v>
      </c>
      <c r="X296" s="146">
        <v>7.4</v>
      </c>
      <c r="Y296" s="18">
        <f t="shared" si="420"/>
        <v>0</v>
      </c>
      <c r="Z296" s="19">
        <v>0</v>
      </c>
      <c r="AA296" s="19">
        <v>0</v>
      </c>
      <c r="AB296" s="19">
        <v>0</v>
      </c>
      <c r="AC296" s="19">
        <v>0</v>
      </c>
      <c r="AD296" s="18">
        <f t="shared" si="421"/>
        <v>0</v>
      </c>
      <c r="AE296" s="19">
        <v>0</v>
      </c>
      <c r="AF296" s="19">
        <v>0</v>
      </c>
      <c r="AG296" s="19">
        <v>0</v>
      </c>
      <c r="AH296" s="19">
        <v>0</v>
      </c>
      <c r="AI296" s="18">
        <f t="shared" si="422"/>
        <v>0</v>
      </c>
      <c r="AJ296" s="19">
        <v>0</v>
      </c>
      <c r="AK296" s="19">
        <v>0</v>
      </c>
      <c r="AL296" s="19">
        <v>0</v>
      </c>
      <c r="AM296" s="19">
        <v>0</v>
      </c>
    </row>
    <row r="297" spans="1:39" s="2" customFormat="1" ht="93.75" customHeight="1" outlineLevel="2" x14ac:dyDescent="0.25">
      <c r="A297" s="8" t="s">
        <v>988</v>
      </c>
      <c r="B297" s="143" t="s">
        <v>991</v>
      </c>
      <c r="C297" s="142" t="s">
        <v>32</v>
      </c>
      <c r="D297" s="139" t="s">
        <v>41</v>
      </c>
      <c r="E297" s="140">
        <f t="shared" si="417"/>
        <v>604.20000000000005</v>
      </c>
      <c r="F297" s="141">
        <f t="shared" si="403"/>
        <v>0</v>
      </c>
      <c r="G297" s="141">
        <f t="shared" si="413"/>
        <v>580.1</v>
      </c>
      <c r="H297" s="38">
        <f t="shared" si="413"/>
        <v>18.100000000000001</v>
      </c>
      <c r="I297" s="38">
        <f t="shared" si="413"/>
        <v>6</v>
      </c>
      <c r="J297" s="18">
        <f t="shared" si="418"/>
        <v>0</v>
      </c>
      <c r="K297" s="19">
        <v>0</v>
      </c>
      <c r="L297" s="19">
        <v>0</v>
      </c>
      <c r="M297" s="51">
        <v>0</v>
      </c>
      <c r="N297" s="19">
        <v>0</v>
      </c>
      <c r="O297" s="18">
        <f t="shared" si="414"/>
        <v>0</v>
      </c>
      <c r="P297" s="19">
        <v>0</v>
      </c>
      <c r="Q297" s="19">
        <v>0</v>
      </c>
      <c r="R297" s="19">
        <v>0</v>
      </c>
      <c r="S297" s="19">
        <v>0</v>
      </c>
      <c r="T297" s="18">
        <f t="shared" si="419"/>
        <v>604.20000000000005</v>
      </c>
      <c r="U297" s="19"/>
      <c r="V297" s="147">
        <v>580.1</v>
      </c>
      <c r="W297" s="147">
        <v>18.100000000000001</v>
      </c>
      <c r="X297" s="148">
        <v>6</v>
      </c>
      <c r="Y297" s="18">
        <f t="shared" si="420"/>
        <v>0</v>
      </c>
      <c r="Z297" s="19">
        <v>0</v>
      </c>
      <c r="AA297" s="19">
        <v>0</v>
      </c>
      <c r="AB297" s="19">
        <v>0</v>
      </c>
      <c r="AC297" s="19">
        <v>0</v>
      </c>
      <c r="AD297" s="18">
        <f t="shared" si="421"/>
        <v>0</v>
      </c>
      <c r="AE297" s="19">
        <v>0</v>
      </c>
      <c r="AF297" s="19">
        <v>0</v>
      </c>
      <c r="AG297" s="19">
        <v>0</v>
      </c>
      <c r="AH297" s="19">
        <v>0</v>
      </c>
      <c r="AI297" s="18">
        <f t="shared" si="422"/>
        <v>0</v>
      </c>
      <c r="AJ297" s="19">
        <v>0</v>
      </c>
      <c r="AK297" s="19">
        <v>0</v>
      </c>
      <c r="AL297" s="19">
        <v>0</v>
      </c>
      <c r="AM297" s="19">
        <v>0</v>
      </c>
    </row>
    <row r="298" spans="1:39" s="2" customFormat="1" ht="84" customHeight="1" outlineLevel="2" x14ac:dyDescent="0.25">
      <c r="A298" s="8" t="s">
        <v>990</v>
      </c>
      <c r="B298" s="143" t="s">
        <v>992</v>
      </c>
      <c r="C298" s="142" t="s">
        <v>32</v>
      </c>
      <c r="D298" s="139" t="s">
        <v>41</v>
      </c>
      <c r="E298" s="140">
        <f t="shared" ref="E298:E302" si="423">SUM(F298:I298)</f>
        <v>349.8</v>
      </c>
      <c r="F298" s="141">
        <f t="shared" si="403"/>
        <v>0</v>
      </c>
      <c r="G298" s="141">
        <f t="shared" si="413"/>
        <v>335.8</v>
      </c>
      <c r="H298" s="38">
        <f t="shared" si="413"/>
        <v>10.5</v>
      </c>
      <c r="I298" s="38">
        <f t="shared" si="413"/>
        <v>3.5</v>
      </c>
      <c r="J298" s="18">
        <f t="shared" ref="J298:J302" si="424">SUM(K298:N298)</f>
        <v>0</v>
      </c>
      <c r="K298" s="19">
        <v>0</v>
      </c>
      <c r="L298" s="19">
        <v>0</v>
      </c>
      <c r="M298" s="51">
        <v>0</v>
      </c>
      <c r="N298" s="19">
        <v>0</v>
      </c>
      <c r="O298" s="18">
        <f t="shared" si="414"/>
        <v>0</v>
      </c>
      <c r="P298" s="19">
        <v>0</v>
      </c>
      <c r="Q298" s="19">
        <v>0</v>
      </c>
      <c r="R298" s="19">
        <v>0</v>
      </c>
      <c r="S298" s="19">
        <v>0</v>
      </c>
      <c r="T298" s="18">
        <f t="shared" si="419"/>
        <v>349.8</v>
      </c>
      <c r="U298" s="19"/>
      <c r="V298" s="161">
        <v>335.8</v>
      </c>
      <c r="W298" s="161">
        <v>10.5</v>
      </c>
      <c r="X298" s="149">
        <v>3.5</v>
      </c>
      <c r="Y298" s="18">
        <f t="shared" si="420"/>
        <v>0</v>
      </c>
      <c r="Z298" s="19">
        <v>0</v>
      </c>
      <c r="AA298" s="19">
        <v>0</v>
      </c>
      <c r="AB298" s="19">
        <v>0</v>
      </c>
      <c r="AC298" s="19">
        <v>0</v>
      </c>
      <c r="AD298" s="18">
        <f t="shared" si="421"/>
        <v>0</v>
      </c>
      <c r="AE298" s="19">
        <v>0</v>
      </c>
      <c r="AF298" s="19">
        <v>0</v>
      </c>
      <c r="AG298" s="19">
        <v>0</v>
      </c>
      <c r="AH298" s="19">
        <v>0</v>
      </c>
      <c r="AI298" s="18">
        <f t="shared" si="422"/>
        <v>0</v>
      </c>
      <c r="AJ298" s="19">
        <v>0</v>
      </c>
      <c r="AK298" s="19">
        <v>0</v>
      </c>
      <c r="AL298" s="19">
        <v>0</v>
      </c>
      <c r="AM298" s="19">
        <v>0</v>
      </c>
    </row>
    <row r="299" spans="1:39" s="2" customFormat="1" ht="84" customHeight="1" outlineLevel="2" x14ac:dyDescent="0.25">
      <c r="A299" s="8" t="s">
        <v>1002</v>
      </c>
      <c r="B299" s="143" t="s">
        <v>993</v>
      </c>
      <c r="C299" s="142" t="s">
        <v>32</v>
      </c>
      <c r="D299" s="139" t="s">
        <v>41</v>
      </c>
      <c r="E299" s="140">
        <f t="shared" si="423"/>
        <v>1065.6000000000001</v>
      </c>
      <c r="F299" s="141">
        <f t="shared" si="403"/>
        <v>0</v>
      </c>
      <c r="G299" s="141">
        <f t="shared" si="413"/>
        <v>1022.9</v>
      </c>
      <c r="H299" s="38">
        <f t="shared" si="413"/>
        <v>32</v>
      </c>
      <c r="I299" s="38">
        <f t="shared" si="413"/>
        <v>10.7</v>
      </c>
      <c r="J299" s="18">
        <f t="shared" si="424"/>
        <v>0</v>
      </c>
      <c r="K299" s="19">
        <v>0</v>
      </c>
      <c r="L299" s="19">
        <v>0</v>
      </c>
      <c r="M299" s="51">
        <v>0</v>
      </c>
      <c r="N299" s="19">
        <v>0</v>
      </c>
      <c r="O299" s="18">
        <f t="shared" si="414"/>
        <v>0</v>
      </c>
      <c r="P299" s="19">
        <v>0</v>
      </c>
      <c r="Q299" s="19">
        <v>0</v>
      </c>
      <c r="R299" s="19">
        <v>0</v>
      </c>
      <c r="S299" s="19">
        <v>0</v>
      </c>
      <c r="T299" s="18">
        <f t="shared" si="419"/>
        <v>1065.6000000000001</v>
      </c>
      <c r="U299" s="19"/>
      <c r="V299" s="150">
        <v>1022.9</v>
      </c>
      <c r="W299" s="151">
        <v>32</v>
      </c>
      <c r="X299" s="149">
        <v>10.7</v>
      </c>
      <c r="Y299" s="18">
        <f t="shared" si="420"/>
        <v>0</v>
      </c>
      <c r="Z299" s="19">
        <v>0</v>
      </c>
      <c r="AA299" s="19">
        <v>0</v>
      </c>
      <c r="AB299" s="19">
        <v>0</v>
      </c>
      <c r="AC299" s="19">
        <v>0</v>
      </c>
      <c r="AD299" s="18">
        <f t="shared" si="421"/>
        <v>0</v>
      </c>
      <c r="AE299" s="19">
        <v>0</v>
      </c>
      <c r="AF299" s="19">
        <v>0</v>
      </c>
      <c r="AG299" s="19">
        <v>0</v>
      </c>
      <c r="AH299" s="19">
        <v>0</v>
      </c>
      <c r="AI299" s="18">
        <f t="shared" si="422"/>
        <v>0</v>
      </c>
      <c r="AJ299" s="19">
        <v>0</v>
      </c>
      <c r="AK299" s="19">
        <v>0</v>
      </c>
      <c r="AL299" s="19">
        <v>0</v>
      </c>
      <c r="AM299" s="19">
        <v>0</v>
      </c>
    </row>
    <row r="300" spans="1:39" s="2" customFormat="1" ht="84" customHeight="1" outlineLevel="2" x14ac:dyDescent="0.25">
      <c r="A300" s="8" t="s">
        <v>1003</v>
      </c>
      <c r="B300" s="143" t="s">
        <v>994</v>
      </c>
      <c r="C300" s="142" t="s">
        <v>32</v>
      </c>
      <c r="D300" s="139" t="s">
        <v>41</v>
      </c>
      <c r="E300" s="140">
        <f t="shared" si="423"/>
        <v>320.7</v>
      </c>
      <c r="F300" s="141">
        <f t="shared" si="403"/>
        <v>0</v>
      </c>
      <c r="G300" s="141">
        <f t="shared" si="413"/>
        <v>307.89999999999998</v>
      </c>
      <c r="H300" s="38">
        <f t="shared" si="413"/>
        <v>9.6</v>
      </c>
      <c r="I300" s="38">
        <f t="shared" si="413"/>
        <v>3.2</v>
      </c>
      <c r="J300" s="18">
        <f t="shared" si="424"/>
        <v>0</v>
      </c>
      <c r="K300" s="19">
        <v>0</v>
      </c>
      <c r="L300" s="19">
        <v>0</v>
      </c>
      <c r="M300" s="51">
        <v>0</v>
      </c>
      <c r="N300" s="19">
        <v>0</v>
      </c>
      <c r="O300" s="18">
        <f t="shared" si="414"/>
        <v>0</v>
      </c>
      <c r="P300" s="19">
        <v>0</v>
      </c>
      <c r="Q300" s="19">
        <v>0</v>
      </c>
      <c r="R300" s="19">
        <v>0</v>
      </c>
      <c r="S300" s="19">
        <v>0</v>
      </c>
      <c r="T300" s="18">
        <f t="shared" si="419"/>
        <v>320.7</v>
      </c>
      <c r="U300" s="19"/>
      <c r="V300" s="161">
        <v>307.89999999999998</v>
      </c>
      <c r="W300" s="151">
        <v>9.6</v>
      </c>
      <c r="X300" s="149">
        <v>3.2</v>
      </c>
      <c r="Y300" s="18">
        <f t="shared" si="420"/>
        <v>0</v>
      </c>
      <c r="Z300" s="19">
        <v>0</v>
      </c>
      <c r="AA300" s="19">
        <v>0</v>
      </c>
      <c r="AB300" s="19">
        <v>0</v>
      </c>
      <c r="AC300" s="19">
        <v>0</v>
      </c>
      <c r="AD300" s="18">
        <f t="shared" si="421"/>
        <v>0</v>
      </c>
      <c r="AE300" s="19">
        <v>0</v>
      </c>
      <c r="AF300" s="19">
        <v>0</v>
      </c>
      <c r="AG300" s="19">
        <v>0</v>
      </c>
      <c r="AH300" s="19">
        <v>0</v>
      </c>
      <c r="AI300" s="18">
        <f t="shared" si="422"/>
        <v>0</v>
      </c>
      <c r="AJ300" s="19">
        <v>0</v>
      </c>
      <c r="AK300" s="19">
        <v>0</v>
      </c>
      <c r="AL300" s="19">
        <v>0</v>
      </c>
      <c r="AM300" s="19">
        <v>0</v>
      </c>
    </row>
    <row r="301" spans="1:39" s="2" customFormat="1" ht="84" customHeight="1" outlineLevel="2" x14ac:dyDescent="0.25">
      <c r="A301" s="8" t="s">
        <v>1004</v>
      </c>
      <c r="B301" s="143" t="s">
        <v>995</v>
      </c>
      <c r="C301" s="142" t="s">
        <v>32</v>
      </c>
      <c r="D301" s="139" t="s">
        <v>41</v>
      </c>
      <c r="E301" s="140">
        <f t="shared" si="423"/>
        <v>3663.1</v>
      </c>
      <c r="F301" s="141">
        <f t="shared" si="403"/>
        <v>0</v>
      </c>
      <c r="G301" s="141">
        <f t="shared" ref="G301:I302" si="425">L301+Q301+V301+AA301+AF301+AK301</f>
        <v>3484.4</v>
      </c>
      <c r="H301" s="38">
        <f t="shared" si="425"/>
        <v>116.1</v>
      </c>
      <c r="I301" s="38">
        <f t="shared" si="425"/>
        <v>62.6</v>
      </c>
      <c r="J301" s="18">
        <f t="shared" si="424"/>
        <v>0</v>
      </c>
      <c r="K301" s="19">
        <v>0</v>
      </c>
      <c r="L301" s="19">
        <v>0</v>
      </c>
      <c r="M301" s="51">
        <v>0</v>
      </c>
      <c r="N301" s="19">
        <v>0</v>
      </c>
      <c r="O301" s="18">
        <f t="shared" si="414"/>
        <v>0</v>
      </c>
      <c r="P301" s="19">
        <v>0</v>
      </c>
      <c r="Q301" s="19">
        <v>0</v>
      </c>
      <c r="R301" s="19">
        <v>0</v>
      </c>
      <c r="S301" s="19">
        <v>0</v>
      </c>
      <c r="T301" s="18">
        <f t="shared" si="419"/>
        <v>3663.1</v>
      </c>
      <c r="U301" s="19"/>
      <c r="V301" s="150">
        <v>3484.4</v>
      </c>
      <c r="W301" s="161">
        <v>116.1</v>
      </c>
      <c r="X301" s="149">
        <v>62.6</v>
      </c>
      <c r="Y301" s="18">
        <f t="shared" si="420"/>
        <v>0</v>
      </c>
      <c r="Z301" s="19">
        <v>0</v>
      </c>
      <c r="AA301" s="19">
        <v>0</v>
      </c>
      <c r="AB301" s="19">
        <v>0</v>
      </c>
      <c r="AC301" s="19">
        <v>0</v>
      </c>
      <c r="AD301" s="18">
        <f t="shared" si="421"/>
        <v>0</v>
      </c>
      <c r="AE301" s="19">
        <v>0</v>
      </c>
      <c r="AF301" s="19">
        <v>0</v>
      </c>
      <c r="AG301" s="19">
        <v>0</v>
      </c>
      <c r="AH301" s="19">
        <v>0</v>
      </c>
      <c r="AI301" s="18">
        <f t="shared" si="422"/>
        <v>0</v>
      </c>
      <c r="AJ301" s="19">
        <v>0</v>
      </c>
      <c r="AK301" s="19">
        <v>0</v>
      </c>
      <c r="AL301" s="19">
        <v>0</v>
      </c>
      <c r="AM301" s="19">
        <v>0</v>
      </c>
    </row>
    <row r="302" spans="1:39" s="2" customFormat="1" ht="84" customHeight="1" outlineLevel="2" x14ac:dyDescent="0.25">
      <c r="A302" s="8" t="s">
        <v>1005</v>
      </c>
      <c r="B302" s="143" t="s">
        <v>1072</v>
      </c>
      <c r="C302" s="142" t="s">
        <v>32</v>
      </c>
      <c r="D302" s="139" t="s">
        <v>41</v>
      </c>
      <c r="E302" s="140">
        <f t="shared" si="423"/>
        <v>11793</v>
      </c>
      <c r="F302" s="141">
        <f t="shared" si="403"/>
        <v>0</v>
      </c>
      <c r="G302" s="141">
        <f t="shared" si="425"/>
        <v>0</v>
      </c>
      <c r="H302" s="38">
        <f t="shared" si="425"/>
        <v>11675.1</v>
      </c>
      <c r="I302" s="38">
        <f t="shared" si="425"/>
        <v>117.9</v>
      </c>
      <c r="J302" s="18">
        <f t="shared" si="424"/>
        <v>0</v>
      </c>
      <c r="K302" s="19">
        <v>0</v>
      </c>
      <c r="L302" s="19">
        <v>0</v>
      </c>
      <c r="M302" s="51">
        <v>0</v>
      </c>
      <c r="N302" s="19">
        <v>0</v>
      </c>
      <c r="O302" s="18">
        <f t="shared" si="414"/>
        <v>0</v>
      </c>
      <c r="P302" s="19">
        <v>0</v>
      </c>
      <c r="Q302" s="19">
        <v>0</v>
      </c>
      <c r="R302" s="19">
        <v>0</v>
      </c>
      <c r="S302" s="19">
        <v>0</v>
      </c>
      <c r="T302" s="18">
        <f t="shared" si="419"/>
        <v>0</v>
      </c>
      <c r="U302" s="19"/>
      <c r="V302" s="152">
        <v>0</v>
      </c>
      <c r="W302" s="152">
        <v>0</v>
      </c>
      <c r="X302" s="153">
        <v>0</v>
      </c>
      <c r="Y302" s="18">
        <f t="shared" si="420"/>
        <v>11793</v>
      </c>
      <c r="Z302" s="19">
        <v>0</v>
      </c>
      <c r="AA302" s="19">
        <v>0</v>
      </c>
      <c r="AB302" s="19">
        <v>11675.1</v>
      </c>
      <c r="AC302" s="19">
        <v>117.9</v>
      </c>
      <c r="AD302" s="18">
        <f t="shared" si="421"/>
        <v>0</v>
      </c>
      <c r="AE302" s="19">
        <v>0</v>
      </c>
      <c r="AF302" s="19">
        <v>0</v>
      </c>
      <c r="AG302" s="19">
        <v>0</v>
      </c>
      <c r="AH302" s="19">
        <v>0</v>
      </c>
      <c r="AI302" s="18">
        <f t="shared" si="422"/>
        <v>0</v>
      </c>
      <c r="AJ302" s="19">
        <v>0</v>
      </c>
      <c r="AK302" s="19">
        <v>0</v>
      </c>
      <c r="AL302" s="19">
        <v>0</v>
      </c>
      <c r="AM302" s="19">
        <v>0</v>
      </c>
    </row>
    <row r="303" spans="1:39" s="2" customFormat="1" ht="65.25" customHeight="1" outlineLevel="2" x14ac:dyDescent="0.25">
      <c r="A303" s="8" t="s">
        <v>1043</v>
      </c>
      <c r="B303" s="143" t="s">
        <v>1073</v>
      </c>
      <c r="C303" s="142" t="s">
        <v>32</v>
      </c>
      <c r="D303" s="139" t="s">
        <v>41</v>
      </c>
      <c r="E303" s="140">
        <f t="shared" ref="E303" si="426">SUM(F303:I303)</f>
        <v>6416.7</v>
      </c>
      <c r="F303" s="141">
        <f t="shared" ref="F303" si="427">K303+P303+U303</f>
        <v>0</v>
      </c>
      <c r="G303" s="141">
        <f t="shared" ref="G303" si="428">L303+Q303+V303+AA303+AF303+AK303</f>
        <v>0</v>
      </c>
      <c r="H303" s="38">
        <f t="shared" ref="H303" si="429">M303+R303+W303+AB303+AG303+AL303</f>
        <v>6352.5</v>
      </c>
      <c r="I303" s="38">
        <f t="shared" ref="I303" si="430">N303+S303+X303+AC303+AH303+AM303</f>
        <v>64.2</v>
      </c>
      <c r="J303" s="18">
        <f t="shared" ref="J303" si="431">SUM(K303:N303)</f>
        <v>0</v>
      </c>
      <c r="K303" s="19">
        <v>0</v>
      </c>
      <c r="L303" s="19">
        <v>0</v>
      </c>
      <c r="M303" s="51">
        <v>0</v>
      </c>
      <c r="N303" s="19">
        <v>0</v>
      </c>
      <c r="O303" s="18">
        <f t="shared" ref="O303" si="432">Q303+R303+S303</f>
        <v>0</v>
      </c>
      <c r="P303" s="19">
        <v>0</v>
      </c>
      <c r="Q303" s="19">
        <v>0</v>
      </c>
      <c r="R303" s="19">
        <v>0</v>
      </c>
      <c r="S303" s="19">
        <v>0</v>
      </c>
      <c r="T303" s="18">
        <f t="shared" ref="T303" si="433">V303+W303+X303</f>
        <v>0</v>
      </c>
      <c r="U303" s="19"/>
      <c r="V303" s="152">
        <v>0</v>
      </c>
      <c r="W303" s="152">
        <v>0</v>
      </c>
      <c r="X303" s="153">
        <v>0</v>
      </c>
      <c r="Y303" s="18">
        <f t="shared" ref="Y303" si="434">SUM(Z303:AC303)</f>
        <v>6416.7</v>
      </c>
      <c r="Z303" s="19">
        <v>0</v>
      </c>
      <c r="AA303" s="19"/>
      <c r="AB303" s="19">
        <f>6833.1-480.6</f>
        <v>6352.5</v>
      </c>
      <c r="AC303" s="19">
        <f>69-4.8</f>
        <v>64.2</v>
      </c>
      <c r="AD303" s="18">
        <f t="shared" ref="AD303" si="435">SUM(AE303:AH303)</f>
        <v>0</v>
      </c>
      <c r="AE303" s="19">
        <v>0</v>
      </c>
      <c r="AF303" s="19">
        <v>0</v>
      </c>
      <c r="AG303" s="19">
        <v>0</v>
      </c>
      <c r="AH303" s="19">
        <v>0</v>
      </c>
      <c r="AI303" s="18">
        <f t="shared" ref="AI303" si="436">SUM(AJ303:AM303)</f>
        <v>0</v>
      </c>
      <c r="AJ303" s="19">
        <v>0</v>
      </c>
      <c r="AK303" s="19">
        <v>0</v>
      </c>
      <c r="AL303" s="19">
        <v>0</v>
      </c>
      <c r="AM303" s="19">
        <v>0</v>
      </c>
    </row>
    <row r="304" spans="1:39" s="2" customFormat="1" ht="65.25" customHeight="1" outlineLevel="2" x14ac:dyDescent="0.25">
      <c r="A304" s="8" t="s">
        <v>1080</v>
      </c>
      <c r="B304" s="143" t="s">
        <v>1074</v>
      </c>
      <c r="C304" s="142" t="s">
        <v>32</v>
      </c>
      <c r="D304" s="139" t="s">
        <v>41</v>
      </c>
      <c r="E304" s="140">
        <f t="shared" ref="E304" si="437">SUM(F304:I304)</f>
        <v>5608</v>
      </c>
      <c r="F304" s="141">
        <f t="shared" ref="F304" si="438">K304+P304+U304</f>
        <v>0</v>
      </c>
      <c r="G304" s="141">
        <f t="shared" ref="G304" si="439">L304+Q304+V304+AA304+AF304+AK304</f>
        <v>5383.7</v>
      </c>
      <c r="H304" s="38">
        <f t="shared" ref="H304" si="440">M304+R304+W304+AB304+AG304+AL304</f>
        <v>168.2</v>
      </c>
      <c r="I304" s="38">
        <f t="shared" ref="I304" si="441">N304+S304+X304+AC304+AH304+AM304</f>
        <v>56.1</v>
      </c>
      <c r="J304" s="18">
        <f t="shared" ref="J304" si="442">SUM(K304:N304)</f>
        <v>0</v>
      </c>
      <c r="K304" s="19">
        <v>0</v>
      </c>
      <c r="L304" s="19">
        <v>0</v>
      </c>
      <c r="M304" s="51">
        <v>0</v>
      </c>
      <c r="N304" s="19">
        <v>0</v>
      </c>
      <c r="O304" s="18">
        <f t="shared" ref="O304" si="443">Q304+R304+S304</f>
        <v>0</v>
      </c>
      <c r="P304" s="19">
        <v>0</v>
      </c>
      <c r="Q304" s="19">
        <v>0</v>
      </c>
      <c r="R304" s="19">
        <v>0</v>
      </c>
      <c r="S304" s="19">
        <v>0</v>
      </c>
      <c r="T304" s="18">
        <f t="shared" ref="T304" si="444">V304+W304+X304</f>
        <v>0</v>
      </c>
      <c r="U304" s="19"/>
      <c r="V304" s="152">
        <v>0</v>
      </c>
      <c r="W304" s="152">
        <v>0</v>
      </c>
      <c r="X304" s="153">
        <v>0</v>
      </c>
      <c r="Y304" s="18">
        <f t="shared" ref="Y304" si="445">SUM(Z304:AC304)</f>
        <v>5608</v>
      </c>
      <c r="Z304" s="19">
        <v>0</v>
      </c>
      <c r="AA304" s="19">
        <v>5383.7</v>
      </c>
      <c r="AB304" s="19">
        <v>168.2</v>
      </c>
      <c r="AC304" s="19">
        <v>56.1</v>
      </c>
      <c r="AD304" s="18">
        <f t="shared" ref="AD304" si="446">SUM(AE304:AH304)</f>
        <v>0</v>
      </c>
      <c r="AE304" s="19">
        <v>0</v>
      </c>
      <c r="AF304" s="19">
        <v>0</v>
      </c>
      <c r="AG304" s="19">
        <v>0</v>
      </c>
      <c r="AH304" s="19">
        <v>0</v>
      </c>
      <c r="AI304" s="18">
        <f t="shared" ref="AI304" si="447">SUM(AJ304:AM304)</f>
        <v>0</v>
      </c>
      <c r="AJ304" s="19">
        <v>0</v>
      </c>
      <c r="AK304" s="19">
        <v>0</v>
      </c>
      <c r="AL304" s="19">
        <v>0</v>
      </c>
      <c r="AM304" s="19">
        <v>0</v>
      </c>
    </row>
    <row r="305" spans="1:39" s="2" customFormat="1" ht="65.25" customHeight="1" outlineLevel="2" x14ac:dyDescent="0.25">
      <c r="A305" s="8" t="s">
        <v>1081</v>
      </c>
      <c r="B305" s="143" t="s">
        <v>1075</v>
      </c>
      <c r="C305" s="142" t="s">
        <v>32</v>
      </c>
      <c r="D305" s="139" t="s">
        <v>41</v>
      </c>
      <c r="E305" s="140">
        <f t="shared" ref="E305" si="448">SUM(F305:I305)</f>
        <v>2987.5</v>
      </c>
      <c r="F305" s="141">
        <f t="shared" ref="F305" si="449">K305+P305+U305</f>
        <v>0</v>
      </c>
      <c r="G305" s="141">
        <f t="shared" ref="G305" si="450">L305+Q305+V305+AA305+AF305+AK305</f>
        <v>2868</v>
      </c>
      <c r="H305" s="38">
        <f t="shared" ref="H305" si="451">M305+R305+W305+AB305+AG305+AL305</f>
        <v>89.6</v>
      </c>
      <c r="I305" s="38">
        <f t="shared" ref="I305" si="452">N305+S305+X305+AC305+AH305+AM305</f>
        <v>29.9</v>
      </c>
      <c r="J305" s="18">
        <f t="shared" ref="J305" si="453">SUM(K305:N305)</f>
        <v>0</v>
      </c>
      <c r="K305" s="19">
        <v>0</v>
      </c>
      <c r="L305" s="19">
        <v>0</v>
      </c>
      <c r="M305" s="51">
        <v>0</v>
      </c>
      <c r="N305" s="19">
        <v>0</v>
      </c>
      <c r="O305" s="18">
        <f t="shared" ref="O305" si="454">Q305+R305+S305</f>
        <v>0</v>
      </c>
      <c r="P305" s="19">
        <v>0</v>
      </c>
      <c r="Q305" s="19">
        <v>0</v>
      </c>
      <c r="R305" s="19">
        <v>0</v>
      </c>
      <c r="S305" s="19">
        <v>0</v>
      </c>
      <c r="T305" s="18">
        <f t="shared" ref="T305" si="455">V305+W305+X305</f>
        <v>0</v>
      </c>
      <c r="U305" s="19"/>
      <c r="V305" s="152">
        <v>0</v>
      </c>
      <c r="W305" s="152">
        <v>0</v>
      </c>
      <c r="X305" s="153">
        <v>0</v>
      </c>
      <c r="Y305" s="18">
        <f t="shared" ref="Y305" si="456">SUM(Z305:AC305)</f>
        <v>2987.5</v>
      </c>
      <c r="Z305" s="19">
        <v>0</v>
      </c>
      <c r="AA305" s="19">
        <v>2868</v>
      </c>
      <c r="AB305" s="19">
        <v>89.6</v>
      </c>
      <c r="AC305" s="19">
        <v>29.9</v>
      </c>
      <c r="AD305" s="18">
        <f t="shared" ref="AD305" si="457">SUM(AE305:AH305)</f>
        <v>0</v>
      </c>
      <c r="AE305" s="19">
        <v>0</v>
      </c>
      <c r="AF305" s="19">
        <v>0</v>
      </c>
      <c r="AG305" s="19">
        <v>0</v>
      </c>
      <c r="AH305" s="19">
        <v>0</v>
      </c>
      <c r="AI305" s="18">
        <f t="shared" ref="AI305" si="458">SUM(AJ305:AM305)</f>
        <v>0</v>
      </c>
      <c r="AJ305" s="19">
        <v>0</v>
      </c>
      <c r="AK305" s="19">
        <v>0</v>
      </c>
      <c r="AL305" s="19">
        <v>0</v>
      </c>
      <c r="AM305" s="19">
        <v>0</v>
      </c>
    </row>
    <row r="306" spans="1:39" s="2" customFormat="1" ht="65.25" customHeight="1" outlineLevel="2" x14ac:dyDescent="0.25">
      <c r="A306" s="8" t="s">
        <v>1082</v>
      </c>
      <c r="B306" s="143" t="s">
        <v>1076</v>
      </c>
      <c r="C306" s="142" t="s">
        <v>32</v>
      </c>
      <c r="D306" s="139" t="s">
        <v>41</v>
      </c>
      <c r="E306" s="140">
        <f t="shared" ref="E306" si="459">SUM(F306:I306)</f>
        <v>1141.7</v>
      </c>
      <c r="F306" s="141">
        <f t="shared" ref="F306" si="460">K306+P306+U306</f>
        <v>0</v>
      </c>
      <c r="G306" s="141">
        <f t="shared" ref="G306" si="461">L306+Q306+V306+AA306+AF306+AK306</f>
        <v>1096</v>
      </c>
      <c r="H306" s="38">
        <f t="shared" ref="H306" si="462">M306+R306+W306+AB306+AG306+AL306</f>
        <v>34.299999999999997</v>
      </c>
      <c r="I306" s="38">
        <f t="shared" ref="I306" si="463">N306+S306+X306+AC306+AH306+AM306</f>
        <v>11.4</v>
      </c>
      <c r="J306" s="18">
        <f t="shared" ref="J306" si="464">SUM(K306:N306)</f>
        <v>0</v>
      </c>
      <c r="K306" s="19">
        <v>0</v>
      </c>
      <c r="L306" s="19">
        <v>0</v>
      </c>
      <c r="M306" s="51">
        <v>0</v>
      </c>
      <c r="N306" s="19">
        <v>0</v>
      </c>
      <c r="O306" s="18">
        <f t="shared" ref="O306" si="465">Q306+R306+S306</f>
        <v>0</v>
      </c>
      <c r="P306" s="19">
        <v>0</v>
      </c>
      <c r="Q306" s="19">
        <v>0</v>
      </c>
      <c r="R306" s="19">
        <v>0</v>
      </c>
      <c r="S306" s="19">
        <v>0</v>
      </c>
      <c r="T306" s="18">
        <f t="shared" ref="T306" si="466">V306+W306+X306</f>
        <v>0</v>
      </c>
      <c r="U306" s="19"/>
      <c r="V306" s="152">
        <v>0</v>
      </c>
      <c r="W306" s="152">
        <v>0</v>
      </c>
      <c r="X306" s="153">
        <v>0</v>
      </c>
      <c r="Y306" s="18">
        <f t="shared" ref="Y306" si="467">SUM(Z306:AC306)</f>
        <v>1141.7</v>
      </c>
      <c r="Z306" s="19">
        <v>0</v>
      </c>
      <c r="AA306" s="19">
        <v>1096</v>
      </c>
      <c r="AB306" s="19">
        <v>34.299999999999997</v>
      </c>
      <c r="AC306" s="19">
        <v>11.4</v>
      </c>
      <c r="AD306" s="18">
        <f t="shared" ref="AD306" si="468">SUM(AE306:AH306)</f>
        <v>0</v>
      </c>
      <c r="AE306" s="19">
        <v>0</v>
      </c>
      <c r="AF306" s="19">
        <v>0</v>
      </c>
      <c r="AG306" s="19">
        <v>0</v>
      </c>
      <c r="AH306" s="19">
        <v>0</v>
      </c>
      <c r="AI306" s="18">
        <f t="shared" ref="AI306" si="469">SUM(AJ306:AM306)</f>
        <v>0</v>
      </c>
      <c r="AJ306" s="19">
        <v>0</v>
      </c>
      <c r="AK306" s="19">
        <v>0</v>
      </c>
      <c r="AL306" s="19">
        <v>0</v>
      </c>
      <c r="AM306" s="19">
        <v>0</v>
      </c>
    </row>
    <row r="307" spans="1:39" s="2" customFormat="1" ht="65.25" customHeight="1" outlineLevel="2" x14ac:dyDescent="0.25">
      <c r="A307" s="8" t="s">
        <v>1083</v>
      </c>
      <c r="B307" s="143" t="s">
        <v>1077</v>
      </c>
      <c r="C307" s="142" t="s">
        <v>32</v>
      </c>
      <c r="D307" s="139" t="s">
        <v>41</v>
      </c>
      <c r="E307" s="140">
        <f t="shared" ref="E307" si="470">SUM(F307:I307)</f>
        <v>2083.3000000000002</v>
      </c>
      <c r="F307" s="141">
        <f t="shared" ref="F307" si="471">K307+P307+U307</f>
        <v>0</v>
      </c>
      <c r="G307" s="141">
        <f t="shared" ref="G307" si="472">L307+Q307+V307+AA307+AF307+AK307</f>
        <v>1315.6</v>
      </c>
      <c r="H307" s="38">
        <f t="shared" ref="H307" si="473">M307+R307+W307+AB307+AG307+AL307</f>
        <v>746.90000000000009</v>
      </c>
      <c r="I307" s="38">
        <f t="shared" ref="I307" si="474">N307+S307+X307+AC307+AH307+AM307</f>
        <v>20.8</v>
      </c>
      <c r="J307" s="18">
        <f t="shared" ref="J307" si="475">SUM(K307:N307)</f>
        <v>0</v>
      </c>
      <c r="K307" s="19">
        <v>0</v>
      </c>
      <c r="L307" s="19">
        <v>0</v>
      </c>
      <c r="M307" s="51">
        <v>0</v>
      </c>
      <c r="N307" s="19">
        <v>0</v>
      </c>
      <c r="O307" s="18">
        <f t="shared" ref="O307" si="476">Q307+R307+S307</f>
        <v>0</v>
      </c>
      <c r="P307" s="19">
        <v>0</v>
      </c>
      <c r="Q307" s="19">
        <v>0</v>
      </c>
      <c r="R307" s="19">
        <v>0</v>
      </c>
      <c r="S307" s="19">
        <v>0</v>
      </c>
      <c r="T307" s="18">
        <f t="shared" ref="T307" si="477">V307+W307+X307</f>
        <v>0</v>
      </c>
      <c r="U307" s="19"/>
      <c r="V307" s="152">
        <v>0</v>
      </c>
      <c r="W307" s="152">
        <v>0</v>
      </c>
      <c r="X307" s="153">
        <v>0</v>
      </c>
      <c r="Y307" s="18">
        <f t="shared" ref="Y307" si="478">SUM(Z307:AC307)</f>
        <v>2083.3000000000002</v>
      </c>
      <c r="Z307" s="19">
        <v>0</v>
      </c>
      <c r="AA307" s="19">
        <f>1030.8+284.8</f>
        <v>1315.6</v>
      </c>
      <c r="AB307" s="19">
        <f>1031.7-284.8</f>
        <v>746.90000000000009</v>
      </c>
      <c r="AC307" s="19">
        <v>20.8</v>
      </c>
      <c r="AD307" s="18">
        <f t="shared" ref="AD307" si="479">SUM(AE307:AH307)</f>
        <v>0</v>
      </c>
      <c r="AE307" s="19">
        <v>0</v>
      </c>
      <c r="AF307" s="19">
        <v>0</v>
      </c>
      <c r="AG307" s="19">
        <v>0</v>
      </c>
      <c r="AH307" s="19">
        <v>0</v>
      </c>
      <c r="AI307" s="18">
        <f t="shared" ref="AI307" si="480">SUM(AJ307:AM307)</f>
        <v>0</v>
      </c>
      <c r="AJ307" s="19">
        <v>0</v>
      </c>
      <c r="AK307" s="19">
        <v>0</v>
      </c>
      <c r="AL307" s="19">
        <v>0</v>
      </c>
      <c r="AM307" s="19">
        <v>0</v>
      </c>
    </row>
    <row r="308" spans="1:39" s="2" customFormat="1" ht="65.25" customHeight="1" outlineLevel="2" x14ac:dyDescent="0.25">
      <c r="A308" s="8" t="s">
        <v>1084</v>
      </c>
      <c r="B308" s="143" t="s">
        <v>1078</v>
      </c>
      <c r="C308" s="142" t="s">
        <v>32</v>
      </c>
      <c r="D308" s="139" t="s">
        <v>41</v>
      </c>
      <c r="E308" s="140">
        <f t="shared" ref="E308" si="481">SUM(F308:I308)</f>
        <v>2325</v>
      </c>
      <c r="F308" s="141">
        <f t="shared" ref="F308" si="482">K308+P308+U308</f>
        <v>0</v>
      </c>
      <c r="G308" s="141">
        <f t="shared" ref="G308" si="483">L308+Q308+V308+AA308+AF308+AK308</f>
        <v>2232</v>
      </c>
      <c r="H308" s="38">
        <f t="shared" ref="H308" si="484">M308+R308+W308+AB308+AG308+AL308</f>
        <v>69.7</v>
      </c>
      <c r="I308" s="38">
        <f t="shared" ref="I308" si="485">N308+S308+X308+AC308+AH308+AM308</f>
        <v>23.3</v>
      </c>
      <c r="J308" s="18">
        <f t="shared" ref="J308" si="486">SUM(K308:N308)</f>
        <v>0</v>
      </c>
      <c r="K308" s="19">
        <v>0</v>
      </c>
      <c r="L308" s="19">
        <v>0</v>
      </c>
      <c r="M308" s="51">
        <v>0</v>
      </c>
      <c r="N308" s="19">
        <v>0</v>
      </c>
      <c r="O308" s="18">
        <f t="shared" ref="O308" si="487">Q308+R308+S308</f>
        <v>0</v>
      </c>
      <c r="P308" s="19">
        <v>0</v>
      </c>
      <c r="Q308" s="19">
        <v>0</v>
      </c>
      <c r="R308" s="19">
        <v>0</v>
      </c>
      <c r="S308" s="19">
        <v>0</v>
      </c>
      <c r="T308" s="18">
        <f t="shared" ref="T308" si="488">V308+W308+X308</f>
        <v>0</v>
      </c>
      <c r="U308" s="19"/>
      <c r="V308" s="152">
        <v>0</v>
      </c>
      <c r="W308" s="152">
        <v>0</v>
      </c>
      <c r="X308" s="153">
        <v>0</v>
      </c>
      <c r="Y308" s="18">
        <f t="shared" ref="Y308" si="489">SUM(Z308:AC308)</f>
        <v>2325</v>
      </c>
      <c r="Z308" s="19">
        <v>0</v>
      </c>
      <c r="AA308" s="19">
        <v>2232</v>
      </c>
      <c r="AB308" s="19">
        <v>69.7</v>
      </c>
      <c r="AC308" s="19">
        <v>23.3</v>
      </c>
      <c r="AD308" s="18">
        <f t="shared" ref="AD308" si="490">SUM(AE308:AH308)</f>
        <v>0</v>
      </c>
      <c r="AE308" s="19">
        <v>0</v>
      </c>
      <c r="AF308" s="19">
        <v>0</v>
      </c>
      <c r="AG308" s="19">
        <v>0</v>
      </c>
      <c r="AH308" s="19">
        <v>0</v>
      </c>
      <c r="AI308" s="18">
        <f t="shared" ref="AI308" si="491">SUM(AJ308:AM308)</f>
        <v>0</v>
      </c>
      <c r="AJ308" s="19">
        <v>0</v>
      </c>
      <c r="AK308" s="19">
        <v>0</v>
      </c>
      <c r="AL308" s="19">
        <v>0</v>
      </c>
      <c r="AM308" s="19">
        <v>0</v>
      </c>
    </row>
    <row r="309" spans="1:39" s="2" customFormat="1" ht="65.25" customHeight="1" outlineLevel="2" x14ac:dyDescent="0.25">
      <c r="A309" s="8" t="s">
        <v>1085</v>
      </c>
      <c r="B309" s="143" t="s">
        <v>1079</v>
      </c>
      <c r="C309" s="142" t="s">
        <v>32</v>
      </c>
      <c r="D309" s="139" t="s">
        <v>41</v>
      </c>
      <c r="E309" s="140">
        <f t="shared" ref="E309" si="492">SUM(F309:I309)</f>
        <v>6921.5999999999995</v>
      </c>
      <c r="F309" s="141">
        <f t="shared" ref="F309" si="493">K309+P309+U309</f>
        <v>0</v>
      </c>
      <c r="G309" s="141">
        <f t="shared" ref="G309" si="494">L309+Q309+V309+AA309+AF309+AK309</f>
        <v>6644.7</v>
      </c>
      <c r="H309" s="38">
        <f t="shared" ref="H309" si="495">M309+R309+W309+AB309+AG309+AL309</f>
        <v>207.7</v>
      </c>
      <c r="I309" s="38">
        <f t="shared" ref="I309" si="496">N309+S309+X309+AC309+AH309+AM309</f>
        <v>69.2</v>
      </c>
      <c r="J309" s="18">
        <f t="shared" ref="J309" si="497">SUM(K309:N309)</f>
        <v>0</v>
      </c>
      <c r="K309" s="19">
        <v>0</v>
      </c>
      <c r="L309" s="19">
        <v>0</v>
      </c>
      <c r="M309" s="51">
        <v>0</v>
      </c>
      <c r="N309" s="19">
        <v>0</v>
      </c>
      <c r="O309" s="18">
        <f t="shared" ref="O309" si="498">Q309+R309+S309</f>
        <v>0</v>
      </c>
      <c r="P309" s="19">
        <v>0</v>
      </c>
      <c r="Q309" s="19">
        <v>0</v>
      </c>
      <c r="R309" s="19">
        <v>0</v>
      </c>
      <c r="S309" s="19">
        <v>0</v>
      </c>
      <c r="T309" s="18">
        <f t="shared" ref="T309" si="499">V309+W309+X309</f>
        <v>0</v>
      </c>
      <c r="U309" s="19"/>
      <c r="V309" s="152">
        <v>0</v>
      </c>
      <c r="W309" s="152">
        <v>0</v>
      </c>
      <c r="X309" s="153">
        <v>0</v>
      </c>
      <c r="Y309" s="18">
        <f t="shared" ref="Y309" si="500">SUM(Z309:AC309)</f>
        <v>6921.5999999999995</v>
      </c>
      <c r="Z309" s="19">
        <v>0</v>
      </c>
      <c r="AA309" s="19">
        <v>6644.7</v>
      </c>
      <c r="AB309" s="19">
        <v>207.7</v>
      </c>
      <c r="AC309" s="19">
        <v>69.2</v>
      </c>
      <c r="AD309" s="18">
        <f t="shared" ref="AD309" si="501">SUM(AE309:AH309)</f>
        <v>0</v>
      </c>
      <c r="AE309" s="19">
        <v>0</v>
      </c>
      <c r="AF309" s="19">
        <v>0</v>
      </c>
      <c r="AG309" s="19">
        <v>0</v>
      </c>
      <c r="AH309" s="19">
        <v>0</v>
      </c>
      <c r="AI309" s="18">
        <f t="shared" ref="AI309" si="502">SUM(AJ309:AM309)</f>
        <v>0</v>
      </c>
      <c r="AJ309" s="19">
        <v>0</v>
      </c>
      <c r="AK309" s="19">
        <v>0</v>
      </c>
      <c r="AL309" s="19">
        <v>0</v>
      </c>
      <c r="AM309" s="19">
        <v>0</v>
      </c>
    </row>
    <row r="310" spans="1:39" s="2" customFormat="1" ht="65.25" customHeight="1" outlineLevel="2" x14ac:dyDescent="0.25">
      <c r="A310" s="8" t="s">
        <v>1086</v>
      </c>
      <c r="B310" s="143" t="s">
        <v>1118</v>
      </c>
      <c r="C310" s="142" t="s">
        <v>32</v>
      </c>
      <c r="D310" s="139" t="s">
        <v>41</v>
      </c>
      <c r="E310" s="140">
        <f t="shared" ref="E310" si="503">SUM(F310:I310)</f>
        <v>1266.7</v>
      </c>
      <c r="F310" s="141">
        <f t="shared" ref="F310" si="504">K310+P310+U310</f>
        <v>0</v>
      </c>
      <c r="G310" s="141">
        <f t="shared" ref="G310" si="505">L310+Q310+V310+AA310+AF310+AK310</f>
        <v>1216</v>
      </c>
      <c r="H310" s="38">
        <f t="shared" ref="H310" si="506">M310+R310+W310+AB310+AG310+AL310</f>
        <v>38</v>
      </c>
      <c r="I310" s="38">
        <f t="shared" ref="I310" si="507">N310+S310+X310+AC310+AH310+AM310</f>
        <v>12.7</v>
      </c>
      <c r="J310" s="18">
        <f t="shared" ref="J310" si="508">SUM(K310:N310)</f>
        <v>0</v>
      </c>
      <c r="K310" s="19">
        <v>0</v>
      </c>
      <c r="L310" s="19">
        <v>0</v>
      </c>
      <c r="M310" s="51">
        <v>0</v>
      </c>
      <c r="N310" s="19">
        <v>0</v>
      </c>
      <c r="O310" s="18">
        <f t="shared" ref="O310" si="509">Q310+R310+S310</f>
        <v>0</v>
      </c>
      <c r="P310" s="19">
        <v>0</v>
      </c>
      <c r="Q310" s="19">
        <v>0</v>
      </c>
      <c r="R310" s="19">
        <v>0</v>
      </c>
      <c r="S310" s="19">
        <v>0</v>
      </c>
      <c r="T310" s="18">
        <f t="shared" ref="T310" si="510">V310+W310+X310</f>
        <v>0</v>
      </c>
      <c r="U310" s="19"/>
      <c r="V310" s="152">
        <v>0</v>
      </c>
      <c r="W310" s="152">
        <v>0</v>
      </c>
      <c r="X310" s="153">
        <v>0</v>
      </c>
      <c r="Y310" s="18">
        <f t="shared" ref="Y310" si="511">SUM(Z310:AC310)</f>
        <v>1266.7</v>
      </c>
      <c r="Z310" s="19">
        <v>0</v>
      </c>
      <c r="AA310" s="19">
        <v>1216</v>
      </c>
      <c r="AB310" s="19">
        <v>38</v>
      </c>
      <c r="AC310" s="19">
        <v>12.7</v>
      </c>
      <c r="AD310" s="18">
        <f t="shared" ref="AD310" si="512">SUM(AE310:AH310)</f>
        <v>0</v>
      </c>
      <c r="AE310" s="19">
        <v>0</v>
      </c>
      <c r="AF310" s="19">
        <v>0</v>
      </c>
      <c r="AG310" s="19">
        <v>0</v>
      </c>
      <c r="AH310" s="19">
        <v>0</v>
      </c>
      <c r="AI310" s="18">
        <f t="shared" ref="AI310" si="513">SUM(AJ310:AM310)</f>
        <v>0</v>
      </c>
      <c r="AJ310" s="19">
        <v>0</v>
      </c>
      <c r="AK310" s="19">
        <v>0</v>
      </c>
      <c r="AL310" s="19">
        <v>0</v>
      </c>
      <c r="AM310" s="19">
        <v>0</v>
      </c>
    </row>
    <row r="311" spans="1:39" s="2" customFormat="1" ht="65.25" customHeight="1" outlineLevel="2" x14ac:dyDescent="0.25">
      <c r="A311" s="8" t="s">
        <v>1119</v>
      </c>
      <c r="B311" s="143" t="s">
        <v>1120</v>
      </c>
      <c r="C311" s="142" t="s">
        <v>32</v>
      </c>
      <c r="D311" s="139" t="s">
        <v>41</v>
      </c>
      <c r="E311" s="140">
        <f t="shared" ref="E311" si="514">SUM(F311:I311)</f>
        <v>1145</v>
      </c>
      <c r="F311" s="141">
        <f t="shared" ref="F311" si="515">K311+P311+U311</f>
        <v>0</v>
      </c>
      <c r="G311" s="141">
        <f t="shared" ref="G311" si="516">L311+Q311+V311+AA311+AF311+AK311</f>
        <v>1099.2</v>
      </c>
      <c r="H311" s="38">
        <f t="shared" ref="H311" si="517">M311+R311+W311+AB311+AG311+AL311</f>
        <v>34.299999999999997</v>
      </c>
      <c r="I311" s="38">
        <f t="shared" ref="I311" si="518">N311+S311+X311+AC311+AH311+AM311</f>
        <v>11.5</v>
      </c>
      <c r="J311" s="18">
        <f t="shared" ref="J311" si="519">SUM(K311:N311)</f>
        <v>0</v>
      </c>
      <c r="K311" s="19">
        <v>0</v>
      </c>
      <c r="L311" s="19">
        <v>0</v>
      </c>
      <c r="M311" s="51">
        <v>0</v>
      </c>
      <c r="N311" s="19">
        <v>0</v>
      </c>
      <c r="O311" s="18">
        <f t="shared" ref="O311" si="520">Q311+R311+S311</f>
        <v>0</v>
      </c>
      <c r="P311" s="19">
        <v>0</v>
      </c>
      <c r="Q311" s="19">
        <v>0</v>
      </c>
      <c r="R311" s="19">
        <v>0</v>
      </c>
      <c r="S311" s="19">
        <v>0</v>
      </c>
      <c r="T311" s="18">
        <f t="shared" ref="T311" si="521">V311+W311+X311</f>
        <v>0</v>
      </c>
      <c r="U311" s="19"/>
      <c r="V311" s="152">
        <v>0</v>
      </c>
      <c r="W311" s="152">
        <v>0</v>
      </c>
      <c r="X311" s="153">
        <v>0</v>
      </c>
      <c r="Y311" s="18">
        <f t="shared" ref="Y311" si="522">SUM(Z311:AC311)</f>
        <v>1145</v>
      </c>
      <c r="Z311" s="19">
        <v>0</v>
      </c>
      <c r="AA311" s="19">
        <v>1099.2</v>
      </c>
      <c r="AB311" s="19">
        <v>34.299999999999997</v>
      </c>
      <c r="AC311" s="19">
        <v>11.5</v>
      </c>
      <c r="AD311" s="18">
        <f t="shared" ref="AD311" si="523">SUM(AE311:AH311)</f>
        <v>0</v>
      </c>
      <c r="AE311" s="19">
        <v>0</v>
      </c>
      <c r="AF311" s="19">
        <v>0</v>
      </c>
      <c r="AG311" s="19">
        <v>0</v>
      </c>
      <c r="AH311" s="19">
        <v>0</v>
      </c>
      <c r="AI311" s="18">
        <f t="shared" ref="AI311" si="524">SUM(AJ311:AM311)</f>
        <v>0</v>
      </c>
      <c r="AJ311" s="19">
        <v>0</v>
      </c>
      <c r="AK311" s="19">
        <v>0</v>
      </c>
      <c r="AL311" s="19">
        <v>0</v>
      </c>
      <c r="AM311" s="19">
        <v>0</v>
      </c>
    </row>
    <row r="312" spans="1:39" s="2" customFormat="1" ht="65.25" customHeight="1" outlineLevel="2" x14ac:dyDescent="0.25">
      <c r="A312" s="8" t="s">
        <v>1121</v>
      </c>
      <c r="B312" s="143" t="s">
        <v>1134</v>
      </c>
      <c r="C312" s="142" t="s">
        <v>32</v>
      </c>
      <c r="D312" s="139" t="s">
        <v>41</v>
      </c>
      <c r="E312" s="140">
        <f t="shared" ref="E312:E313" si="525">SUM(F312:I312)</f>
        <v>3916.7</v>
      </c>
      <c r="F312" s="141">
        <f t="shared" ref="F312:F313" si="526">K312+P312+U312</f>
        <v>0</v>
      </c>
      <c r="G312" s="141">
        <f t="shared" ref="G312:G313" si="527">L312+Q312+V312+AA312+AF312+AK312</f>
        <v>0</v>
      </c>
      <c r="H312" s="38">
        <f t="shared" ref="H312:H313" si="528">M312+R312+W312+AB312+AG312+AL312</f>
        <v>3877.5</v>
      </c>
      <c r="I312" s="38">
        <f t="shared" ref="I312:I313" si="529">N312+S312+X312+AC312+AH312+AM312</f>
        <v>39.200000000000003</v>
      </c>
      <c r="J312" s="18">
        <f t="shared" ref="J312:J313" si="530">SUM(K312:N312)</f>
        <v>0</v>
      </c>
      <c r="K312" s="19">
        <v>0</v>
      </c>
      <c r="L312" s="19">
        <v>0</v>
      </c>
      <c r="M312" s="51">
        <v>0</v>
      </c>
      <c r="N312" s="19">
        <v>0</v>
      </c>
      <c r="O312" s="18">
        <f t="shared" ref="O312:O313" si="531">Q312+R312+S312</f>
        <v>0</v>
      </c>
      <c r="P312" s="19">
        <v>0</v>
      </c>
      <c r="Q312" s="19">
        <v>0</v>
      </c>
      <c r="R312" s="19">
        <v>0</v>
      </c>
      <c r="S312" s="19">
        <v>0</v>
      </c>
      <c r="T312" s="18">
        <f t="shared" ref="T312:T313" si="532">V312+W312+X312</f>
        <v>0</v>
      </c>
      <c r="U312" s="19"/>
      <c r="V312" s="152">
        <v>0</v>
      </c>
      <c r="W312" s="152">
        <v>0</v>
      </c>
      <c r="X312" s="153">
        <v>0</v>
      </c>
      <c r="Y312" s="18">
        <f t="shared" ref="Y312:Y313" si="533">SUM(Z312:AC312)</f>
        <v>3916.7</v>
      </c>
      <c r="Z312" s="19">
        <v>0</v>
      </c>
      <c r="AA312" s="19">
        <v>0</v>
      </c>
      <c r="AB312" s="19">
        <v>3877.5</v>
      </c>
      <c r="AC312" s="19">
        <v>39.200000000000003</v>
      </c>
      <c r="AD312" s="18">
        <f t="shared" ref="AD312:AD313" si="534">SUM(AE312:AH312)</f>
        <v>0</v>
      </c>
      <c r="AE312" s="19">
        <v>0</v>
      </c>
      <c r="AF312" s="19">
        <v>0</v>
      </c>
      <c r="AG312" s="19">
        <v>0</v>
      </c>
      <c r="AH312" s="19">
        <v>0</v>
      </c>
      <c r="AI312" s="18">
        <f t="shared" ref="AI312:AI313" si="535">SUM(AJ312:AM312)</f>
        <v>0</v>
      </c>
      <c r="AJ312" s="19">
        <v>0</v>
      </c>
      <c r="AK312" s="19">
        <v>0</v>
      </c>
      <c r="AL312" s="19">
        <v>0</v>
      </c>
      <c r="AM312" s="19">
        <v>0</v>
      </c>
    </row>
    <row r="313" spans="1:39" s="2" customFormat="1" ht="65.25" customHeight="1" outlineLevel="2" x14ac:dyDescent="0.25">
      <c r="A313" s="8" t="s">
        <v>1149</v>
      </c>
      <c r="B313" s="143" t="s">
        <v>1164</v>
      </c>
      <c r="C313" s="142" t="s">
        <v>32</v>
      </c>
      <c r="D313" s="139" t="s">
        <v>41</v>
      </c>
      <c r="E313" s="140">
        <f t="shared" si="525"/>
        <v>411.70000000000005</v>
      </c>
      <c r="F313" s="141">
        <f t="shared" si="526"/>
        <v>0</v>
      </c>
      <c r="G313" s="141">
        <f t="shared" si="527"/>
        <v>0</v>
      </c>
      <c r="H313" s="38">
        <f t="shared" si="528"/>
        <v>407.6</v>
      </c>
      <c r="I313" s="38">
        <f t="shared" si="529"/>
        <v>4.0999999999999996</v>
      </c>
      <c r="J313" s="18">
        <f t="shared" si="530"/>
        <v>0</v>
      </c>
      <c r="K313" s="19">
        <v>0</v>
      </c>
      <c r="L313" s="19">
        <v>0</v>
      </c>
      <c r="M313" s="51">
        <v>0</v>
      </c>
      <c r="N313" s="19">
        <v>0</v>
      </c>
      <c r="O313" s="18">
        <f t="shared" si="531"/>
        <v>0</v>
      </c>
      <c r="P313" s="19">
        <v>0</v>
      </c>
      <c r="Q313" s="19">
        <v>0</v>
      </c>
      <c r="R313" s="19">
        <v>0</v>
      </c>
      <c r="S313" s="19">
        <v>0</v>
      </c>
      <c r="T313" s="18">
        <f t="shared" si="532"/>
        <v>0</v>
      </c>
      <c r="U313" s="19"/>
      <c r="V313" s="152">
        <v>0</v>
      </c>
      <c r="W313" s="152">
        <v>0</v>
      </c>
      <c r="X313" s="153">
        <v>0</v>
      </c>
      <c r="Y313" s="18">
        <f t="shared" si="533"/>
        <v>411.70000000000005</v>
      </c>
      <c r="Z313" s="19">
        <v>0</v>
      </c>
      <c r="AA313" s="19">
        <v>0</v>
      </c>
      <c r="AB313" s="19">
        <v>407.6</v>
      </c>
      <c r="AC313" s="19">
        <v>4.0999999999999996</v>
      </c>
      <c r="AD313" s="18">
        <f t="shared" si="534"/>
        <v>0</v>
      </c>
      <c r="AE313" s="19">
        <v>0</v>
      </c>
      <c r="AF313" s="19">
        <v>0</v>
      </c>
      <c r="AG313" s="19">
        <v>0</v>
      </c>
      <c r="AH313" s="19">
        <v>0</v>
      </c>
      <c r="AI313" s="18">
        <f t="shared" si="535"/>
        <v>0</v>
      </c>
      <c r="AJ313" s="19">
        <v>0</v>
      </c>
      <c r="AK313" s="19">
        <v>0</v>
      </c>
      <c r="AL313" s="19">
        <v>0</v>
      </c>
      <c r="AM313" s="19">
        <v>0</v>
      </c>
    </row>
    <row r="314" spans="1:39" s="2" customFormat="1" ht="65.25" customHeight="1" outlineLevel="2" x14ac:dyDescent="0.25">
      <c r="A314" s="8" t="s">
        <v>1150</v>
      </c>
      <c r="B314" s="143" t="s">
        <v>1165</v>
      </c>
      <c r="C314" s="142" t="s">
        <v>32</v>
      </c>
      <c r="D314" s="139" t="s">
        <v>41</v>
      </c>
      <c r="E314" s="140">
        <f t="shared" ref="E314" si="536">SUM(F314:I314)</f>
        <v>1900.8</v>
      </c>
      <c r="F314" s="141">
        <f t="shared" ref="F314" si="537">K314+P314+U314</f>
        <v>0</v>
      </c>
      <c r="G314" s="141">
        <f t="shared" ref="G314" si="538">L314+Q314+V314+AA314+AF314+AK314</f>
        <v>0</v>
      </c>
      <c r="H314" s="38">
        <f t="shared" ref="H314" si="539">M314+R314+W314+AB314+AG314+AL314</f>
        <v>1881.8</v>
      </c>
      <c r="I314" s="38">
        <f t="shared" ref="I314" si="540">N314+S314+X314+AC314+AH314+AM314</f>
        <v>19</v>
      </c>
      <c r="J314" s="18">
        <f t="shared" ref="J314" si="541">SUM(K314:N314)</f>
        <v>0</v>
      </c>
      <c r="K314" s="19">
        <v>0</v>
      </c>
      <c r="L314" s="19">
        <v>0</v>
      </c>
      <c r="M314" s="51">
        <v>0</v>
      </c>
      <c r="N314" s="19">
        <v>0</v>
      </c>
      <c r="O314" s="18">
        <f t="shared" ref="O314" si="542">Q314+R314+S314</f>
        <v>0</v>
      </c>
      <c r="P314" s="19">
        <v>0</v>
      </c>
      <c r="Q314" s="19">
        <v>0</v>
      </c>
      <c r="R314" s="19">
        <v>0</v>
      </c>
      <c r="S314" s="19">
        <v>0</v>
      </c>
      <c r="T314" s="18">
        <f t="shared" ref="T314" si="543">V314+W314+X314</f>
        <v>0</v>
      </c>
      <c r="U314" s="19"/>
      <c r="V314" s="152">
        <v>0</v>
      </c>
      <c r="W314" s="152">
        <v>0</v>
      </c>
      <c r="X314" s="153">
        <v>0</v>
      </c>
      <c r="Y314" s="18">
        <f t="shared" ref="Y314" si="544">SUM(Z314:AC314)</f>
        <v>1900.8</v>
      </c>
      <c r="Z314" s="19">
        <v>0</v>
      </c>
      <c r="AA314" s="19">
        <v>0</v>
      </c>
      <c r="AB314" s="19">
        <v>1881.8</v>
      </c>
      <c r="AC314" s="19">
        <v>19</v>
      </c>
      <c r="AD314" s="18">
        <f t="shared" ref="AD314" si="545">SUM(AE314:AH314)</f>
        <v>0</v>
      </c>
      <c r="AE314" s="19">
        <v>0</v>
      </c>
      <c r="AF314" s="19">
        <v>0</v>
      </c>
      <c r="AG314" s="19">
        <v>0</v>
      </c>
      <c r="AH314" s="19">
        <v>0</v>
      </c>
      <c r="AI314" s="18">
        <f t="shared" ref="AI314" si="546">SUM(AJ314:AM314)</f>
        <v>0</v>
      </c>
      <c r="AJ314" s="19">
        <v>0</v>
      </c>
      <c r="AK314" s="19">
        <v>0</v>
      </c>
      <c r="AL314" s="19">
        <v>0</v>
      </c>
      <c r="AM314" s="19">
        <v>0</v>
      </c>
    </row>
    <row r="315" spans="1:39" s="2" customFormat="1" ht="65.25" customHeight="1" outlineLevel="2" x14ac:dyDescent="0.25">
      <c r="A315" s="8" t="s">
        <v>1151</v>
      </c>
      <c r="B315" s="143" t="s">
        <v>1166</v>
      </c>
      <c r="C315" s="142" t="s">
        <v>32</v>
      </c>
      <c r="D315" s="139" t="s">
        <v>41</v>
      </c>
      <c r="E315" s="140">
        <f t="shared" ref="E315" si="547">SUM(F315:I315)</f>
        <v>349.2</v>
      </c>
      <c r="F315" s="141">
        <f t="shared" ref="F315" si="548">K315+P315+U315</f>
        <v>0</v>
      </c>
      <c r="G315" s="141">
        <f t="shared" ref="G315" si="549">L315+Q315+V315+AA315+AF315+AK315</f>
        <v>0</v>
      </c>
      <c r="H315" s="38">
        <f t="shared" ref="H315" si="550">M315+R315+W315+AB315+AG315+AL315</f>
        <v>345.7</v>
      </c>
      <c r="I315" s="38">
        <f t="shared" ref="I315" si="551">N315+S315+X315+AC315+AH315+AM315</f>
        <v>3.5</v>
      </c>
      <c r="J315" s="18">
        <f t="shared" ref="J315" si="552">SUM(K315:N315)</f>
        <v>0</v>
      </c>
      <c r="K315" s="19">
        <v>0</v>
      </c>
      <c r="L315" s="19">
        <v>0</v>
      </c>
      <c r="M315" s="51">
        <v>0</v>
      </c>
      <c r="N315" s="19">
        <v>0</v>
      </c>
      <c r="O315" s="18">
        <f t="shared" ref="O315" si="553">Q315+R315+S315</f>
        <v>0</v>
      </c>
      <c r="P315" s="19">
        <v>0</v>
      </c>
      <c r="Q315" s="19">
        <v>0</v>
      </c>
      <c r="R315" s="19">
        <v>0</v>
      </c>
      <c r="S315" s="19">
        <v>0</v>
      </c>
      <c r="T315" s="18">
        <f t="shared" ref="T315" si="554">V315+W315+X315</f>
        <v>0</v>
      </c>
      <c r="U315" s="19"/>
      <c r="V315" s="152">
        <v>0</v>
      </c>
      <c r="W315" s="152">
        <v>0</v>
      </c>
      <c r="X315" s="153">
        <v>0</v>
      </c>
      <c r="Y315" s="18">
        <f t="shared" ref="Y315" si="555">SUM(Z315:AC315)</f>
        <v>349.2</v>
      </c>
      <c r="Z315" s="19">
        <v>0</v>
      </c>
      <c r="AA315" s="19">
        <v>0</v>
      </c>
      <c r="AB315" s="19">
        <v>345.7</v>
      </c>
      <c r="AC315" s="19">
        <v>3.5</v>
      </c>
      <c r="AD315" s="18">
        <f t="shared" ref="AD315" si="556">SUM(AE315:AH315)</f>
        <v>0</v>
      </c>
      <c r="AE315" s="19">
        <v>0</v>
      </c>
      <c r="AF315" s="19">
        <v>0</v>
      </c>
      <c r="AG315" s="19">
        <v>0</v>
      </c>
      <c r="AH315" s="19">
        <v>0</v>
      </c>
      <c r="AI315" s="18">
        <f t="shared" ref="AI315" si="557">SUM(AJ315:AM315)</f>
        <v>0</v>
      </c>
      <c r="AJ315" s="19">
        <v>0</v>
      </c>
      <c r="AK315" s="19">
        <v>0</v>
      </c>
      <c r="AL315" s="19">
        <v>0</v>
      </c>
      <c r="AM315" s="19">
        <v>0</v>
      </c>
    </row>
    <row r="316" spans="1:39" s="2" customFormat="1" ht="45.75" customHeight="1" outlineLevel="2" x14ac:dyDescent="0.25">
      <c r="A316" s="8" t="s">
        <v>1152</v>
      </c>
      <c r="B316" s="206" t="s">
        <v>718</v>
      </c>
      <c r="C316" s="207"/>
      <c r="D316" s="208"/>
      <c r="E316" s="20">
        <f>SUM(F316:I316)</f>
        <v>5737.2999999999993</v>
      </c>
      <c r="F316" s="20">
        <f t="shared" si="403"/>
        <v>0</v>
      </c>
      <c r="G316" s="20">
        <f>L316+Q316+V316+AA316+AF316+AK316</f>
        <v>0</v>
      </c>
      <c r="H316" s="20">
        <f>M316+R316+W316+AB316+AG316+AL316</f>
        <v>5737.2999999999993</v>
      </c>
      <c r="I316" s="20">
        <f t="shared" si="404"/>
        <v>0</v>
      </c>
      <c r="J316" s="18">
        <f>SUM(K316:N316)</f>
        <v>570.29999999999995</v>
      </c>
      <c r="K316" s="18">
        <v>0</v>
      </c>
      <c r="L316" s="18">
        <v>0</v>
      </c>
      <c r="M316" s="18">
        <f>SUM(M317:M327)</f>
        <v>570.29999999999995</v>
      </c>
      <c r="N316" s="18">
        <v>0</v>
      </c>
      <c r="O316" s="18">
        <f>SUM(P316:S316)</f>
        <v>1597.6</v>
      </c>
      <c r="P316" s="18">
        <v>0</v>
      </c>
      <c r="Q316" s="18">
        <f>SUM(Q317:Q325)</f>
        <v>0</v>
      </c>
      <c r="R316" s="18">
        <f>SUM(R317:R327)</f>
        <v>1597.6</v>
      </c>
      <c r="S316" s="18">
        <f t="shared" ref="S316:AM316" si="558">SUM(S317:S326)</f>
        <v>0</v>
      </c>
      <c r="T316" s="18">
        <f t="shared" si="558"/>
        <v>945.9000000000002</v>
      </c>
      <c r="U316" s="18">
        <f t="shared" si="558"/>
        <v>0</v>
      </c>
      <c r="V316" s="18">
        <f t="shared" si="558"/>
        <v>0</v>
      </c>
      <c r="W316" s="18">
        <f>SUM(W317:W327)</f>
        <v>945.9000000000002</v>
      </c>
      <c r="X316" s="18">
        <f t="shared" si="558"/>
        <v>0</v>
      </c>
      <c r="Y316" s="18">
        <f>SUM(Y317:Y327)</f>
        <v>840.6</v>
      </c>
      <c r="Z316" s="18">
        <f t="shared" si="558"/>
        <v>0</v>
      </c>
      <c r="AA316" s="18">
        <f t="shared" si="558"/>
        <v>0</v>
      </c>
      <c r="AB316" s="18">
        <f>SUM(AB317:AB327)</f>
        <v>840.6</v>
      </c>
      <c r="AC316" s="18">
        <f t="shared" si="558"/>
        <v>0</v>
      </c>
      <c r="AD316" s="18">
        <f>SUM(AD317:AD327)</f>
        <v>874.00000000000011</v>
      </c>
      <c r="AE316" s="18">
        <f t="shared" si="558"/>
        <v>0</v>
      </c>
      <c r="AF316" s="18">
        <f t="shared" si="558"/>
        <v>0</v>
      </c>
      <c r="AG316" s="18">
        <f>SUM(AG317:AG327)</f>
        <v>874.00000000000011</v>
      </c>
      <c r="AH316" s="18">
        <f t="shared" si="558"/>
        <v>0</v>
      </c>
      <c r="AI316" s="18">
        <f>SUM(AI317:AI327)</f>
        <v>908.90000000000009</v>
      </c>
      <c r="AJ316" s="18">
        <f t="shared" si="558"/>
        <v>0</v>
      </c>
      <c r="AK316" s="18">
        <f t="shared" si="558"/>
        <v>0</v>
      </c>
      <c r="AL316" s="18">
        <f>SUM(AL317:AL327)</f>
        <v>908.90000000000009</v>
      </c>
      <c r="AM316" s="18">
        <f t="shared" si="558"/>
        <v>0</v>
      </c>
    </row>
    <row r="317" spans="1:39" s="2" customFormat="1" ht="78.75" outlineLevel="2" x14ac:dyDescent="0.25">
      <c r="A317" s="8" t="s">
        <v>1153</v>
      </c>
      <c r="B317" s="43" t="s">
        <v>61</v>
      </c>
      <c r="C317" s="26" t="s">
        <v>376</v>
      </c>
      <c r="D317" s="26" t="s">
        <v>118</v>
      </c>
      <c r="E317" s="20">
        <f>SUM(F317:I317)</f>
        <v>1305.3</v>
      </c>
      <c r="F317" s="38">
        <f t="shared" ref="F317:F325" si="559">K317+P317+U317</f>
        <v>0</v>
      </c>
      <c r="G317" s="38">
        <f t="shared" si="409"/>
        <v>0</v>
      </c>
      <c r="H317" s="38">
        <f>M317+R317+W317+AB317+AG317+AL317</f>
        <v>1305.3</v>
      </c>
      <c r="I317" s="38">
        <f t="shared" si="404"/>
        <v>0</v>
      </c>
      <c r="J317" s="18">
        <f t="shared" si="405"/>
        <v>139.30000000000001</v>
      </c>
      <c r="K317" s="18">
        <v>0</v>
      </c>
      <c r="L317" s="19">
        <v>0</v>
      </c>
      <c r="M317" s="51">
        <v>139.30000000000001</v>
      </c>
      <c r="N317" s="19">
        <v>0</v>
      </c>
      <c r="O317" s="18">
        <f t="shared" si="406"/>
        <v>277.39999999999998</v>
      </c>
      <c r="P317" s="18">
        <v>0</v>
      </c>
      <c r="Q317" s="19">
        <v>0</v>
      </c>
      <c r="R317" s="19">
        <v>277.39999999999998</v>
      </c>
      <c r="S317" s="19">
        <v>0</v>
      </c>
      <c r="T317" s="18">
        <f t="shared" si="407"/>
        <v>210.00000000000003</v>
      </c>
      <c r="U317" s="18">
        <v>0</v>
      </c>
      <c r="V317" s="19">
        <v>0</v>
      </c>
      <c r="W317" s="105">
        <f>289.1-39.1-40</f>
        <v>210.00000000000003</v>
      </c>
      <c r="X317" s="19">
        <v>0</v>
      </c>
      <c r="Y317" s="18">
        <f t="shared" si="408"/>
        <v>217.4</v>
      </c>
      <c r="Z317" s="18">
        <v>0</v>
      </c>
      <c r="AA317" s="19">
        <v>0</v>
      </c>
      <c r="AB317" s="108">
        <v>217.4</v>
      </c>
      <c r="AC317" s="19">
        <v>0</v>
      </c>
      <c r="AD317" s="18">
        <f t="shared" si="411"/>
        <v>226.1</v>
      </c>
      <c r="AE317" s="18">
        <v>0</v>
      </c>
      <c r="AF317" s="19">
        <v>0</v>
      </c>
      <c r="AG317" s="107">
        <v>226.1</v>
      </c>
      <c r="AH317" s="19">
        <v>0</v>
      </c>
      <c r="AI317" s="18">
        <f t="shared" si="412"/>
        <v>235.1</v>
      </c>
      <c r="AJ317" s="18">
        <v>0</v>
      </c>
      <c r="AK317" s="19">
        <v>0</v>
      </c>
      <c r="AL317" s="107">
        <v>235.1</v>
      </c>
      <c r="AM317" s="19">
        <v>0</v>
      </c>
    </row>
    <row r="318" spans="1:39" s="2" customFormat="1" ht="78.75" outlineLevel="2" x14ac:dyDescent="0.25">
      <c r="A318" s="8" t="s">
        <v>1154</v>
      </c>
      <c r="B318" s="43" t="s">
        <v>58</v>
      </c>
      <c r="C318" s="26" t="s">
        <v>376</v>
      </c>
      <c r="D318" s="26" t="s">
        <v>118</v>
      </c>
      <c r="E318" s="20">
        <f t="shared" si="402"/>
        <v>213.5</v>
      </c>
      <c r="F318" s="38">
        <f t="shared" si="559"/>
        <v>0</v>
      </c>
      <c r="G318" s="38">
        <f t="shared" si="409"/>
        <v>0</v>
      </c>
      <c r="H318" s="38">
        <f t="shared" si="410"/>
        <v>213.5</v>
      </c>
      <c r="I318" s="38">
        <f t="shared" si="404"/>
        <v>0</v>
      </c>
      <c r="J318" s="18">
        <f t="shared" si="405"/>
        <v>52.9</v>
      </c>
      <c r="K318" s="18">
        <v>0</v>
      </c>
      <c r="L318" s="19">
        <v>0</v>
      </c>
      <c r="M318" s="51">
        <v>52.9</v>
      </c>
      <c r="N318" s="19">
        <v>0</v>
      </c>
      <c r="O318" s="18">
        <f t="shared" si="406"/>
        <v>28.3</v>
      </c>
      <c r="P318" s="18">
        <v>0</v>
      </c>
      <c r="Q318" s="19">
        <v>0</v>
      </c>
      <c r="R318" s="19">
        <v>28.3</v>
      </c>
      <c r="S318" s="19">
        <v>0</v>
      </c>
      <c r="T318" s="18">
        <f t="shared" si="407"/>
        <v>31.2</v>
      </c>
      <c r="U318" s="18">
        <v>0</v>
      </c>
      <c r="V318" s="19">
        <v>0</v>
      </c>
      <c r="W318" s="105">
        <f>29.5+1.7</f>
        <v>31.2</v>
      </c>
      <c r="X318" s="19">
        <v>0</v>
      </c>
      <c r="Y318" s="18">
        <f t="shared" si="408"/>
        <v>32.4</v>
      </c>
      <c r="Z318" s="18">
        <v>0</v>
      </c>
      <c r="AA318" s="19">
        <v>0</v>
      </c>
      <c r="AB318" s="108">
        <v>32.4</v>
      </c>
      <c r="AC318" s="19">
        <v>0</v>
      </c>
      <c r="AD318" s="18">
        <f t="shared" si="411"/>
        <v>33.700000000000003</v>
      </c>
      <c r="AE318" s="18">
        <v>0</v>
      </c>
      <c r="AF318" s="19">
        <v>0</v>
      </c>
      <c r="AG318" s="107">
        <v>33.700000000000003</v>
      </c>
      <c r="AH318" s="19">
        <v>0</v>
      </c>
      <c r="AI318" s="18">
        <f t="shared" si="412"/>
        <v>35</v>
      </c>
      <c r="AJ318" s="18">
        <v>0</v>
      </c>
      <c r="AK318" s="19">
        <v>0</v>
      </c>
      <c r="AL318" s="107">
        <v>35</v>
      </c>
      <c r="AM318" s="19">
        <v>0</v>
      </c>
    </row>
    <row r="319" spans="1:39" s="2" customFormat="1" ht="78.75" outlineLevel="2" x14ac:dyDescent="0.25">
      <c r="A319" s="8" t="s">
        <v>1155</v>
      </c>
      <c r="B319" s="43" t="s">
        <v>55</v>
      </c>
      <c r="C319" s="26" t="s">
        <v>376</v>
      </c>
      <c r="D319" s="26" t="s">
        <v>118</v>
      </c>
      <c r="E319" s="20">
        <f t="shared" si="402"/>
        <v>276</v>
      </c>
      <c r="F319" s="38">
        <f t="shared" si="559"/>
        <v>0</v>
      </c>
      <c r="G319" s="38">
        <f t="shared" si="409"/>
        <v>0</v>
      </c>
      <c r="H319" s="38">
        <f t="shared" si="410"/>
        <v>276</v>
      </c>
      <c r="I319" s="38">
        <f t="shared" si="404"/>
        <v>0</v>
      </c>
      <c r="J319" s="18">
        <f t="shared" si="405"/>
        <v>41.6</v>
      </c>
      <c r="K319" s="18">
        <v>0</v>
      </c>
      <c r="L319" s="19">
        <v>0</v>
      </c>
      <c r="M319" s="51">
        <v>41.6</v>
      </c>
      <c r="N319" s="19">
        <v>0</v>
      </c>
      <c r="O319" s="18">
        <f t="shared" si="406"/>
        <v>42.3</v>
      </c>
      <c r="P319" s="18">
        <v>0</v>
      </c>
      <c r="Q319" s="19">
        <v>0</v>
      </c>
      <c r="R319" s="19">
        <v>42.3</v>
      </c>
      <c r="S319" s="19">
        <v>0</v>
      </c>
      <c r="T319" s="18">
        <f t="shared" si="407"/>
        <v>45.3</v>
      </c>
      <c r="U319" s="18">
        <v>0</v>
      </c>
      <c r="V319" s="19">
        <v>0</v>
      </c>
      <c r="W319" s="105">
        <v>45.3</v>
      </c>
      <c r="X319" s="19">
        <v>0</v>
      </c>
      <c r="Y319" s="18">
        <f t="shared" si="408"/>
        <v>47</v>
      </c>
      <c r="Z319" s="18">
        <v>0</v>
      </c>
      <c r="AA319" s="19">
        <v>0</v>
      </c>
      <c r="AB319" s="107">
        <v>47</v>
      </c>
      <c r="AC319" s="19">
        <v>0</v>
      </c>
      <c r="AD319" s="18">
        <f t="shared" si="411"/>
        <v>48.9</v>
      </c>
      <c r="AE319" s="18">
        <v>0</v>
      </c>
      <c r="AF319" s="19">
        <v>0</v>
      </c>
      <c r="AG319" s="107">
        <v>48.9</v>
      </c>
      <c r="AH319" s="19">
        <v>0</v>
      </c>
      <c r="AI319" s="18">
        <f t="shared" si="412"/>
        <v>50.9</v>
      </c>
      <c r="AJ319" s="18">
        <v>0</v>
      </c>
      <c r="AK319" s="19">
        <v>0</v>
      </c>
      <c r="AL319" s="107">
        <v>50.9</v>
      </c>
      <c r="AM319" s="19">
        <v>0</v>
      </c>
    </row>
    <row r="320" spans="1:39" s="2" customFormat="1" ht="78.75" outlineLevel="2" x14ac:dyDescent="0.25">
      <c r="A320" s="8" t="s">
        <v>1156</v>
      </c>
      <c r="B320" s="43" t="s">
        <v>56</v>
      </c>
      <c r="C320" s="26" t="s">
        <v>376</v>
      </c>
      <c r="D320" s="26" t="s">
        <v>118</v>
      </c>
      <c r="E320" s="20">
        <f t="shared" si="402"/>
        <v>777.09999999999991</v>
      </c>
      <c r="F320" s="38">
        <f t="shared" si="559"/>
        <v>0</v>
      </c>
      <c r="G320" s="38">
        <f t="shared" si="409"/>
        <v>0</v>
      </c>
      <c r="H320" s="38">
        <f t="shared" si="410"/>
        <v>777.09999999999991</v>
      </c>
      <c r="I320" s="38">
        <f t="shared" si="404"/>
        <v>0</v>
      </c>
      <c r="J320" s="18">
        <f t="shared" si="405"/>
        <v>95.2</v>
      </c>
      <c r="K320" s="18">
        <v>0</v>
      </c>
      <c r="L320" s="19">
        <v>0</v>
      </c>
      <c r="M320" s="51">
        <v>95.2</v>
      </c>
      <c r="N320" s="19">
        <v>0</v>
      </c>
      <c r="O320" s="18">
        <f t="shared" si="406"/>
        <v>186.1</v>
      </c>
      <c r="P320" s="18">
        <v>0</v>
      </c>
      <c r="Q320" s="19">
        <v>0</v>
      </c>
      <c r="R320" s="19">
        <v>186.1</v>
      </c>
      <c r="S320" s="19">
        <v>0</v>
      </c>
      <c r="T320" s="18">
        <f t="shared" si="407"/>
        <v>212.1</v>
      </c>
      <c r="U320" s="18">
        <v>0</v>
      </c>
      <c r="V320" s="19">
        <v>0</v>
      </c>
      <c r="W320" s="105">
        <v>212.1</v>
      </c>
      <c r="X320" s="19">
        <v>0</v>
      </c>
      <c r="Y320" s="18">
        <f t="shared" si="408"/>
        <v>90.9</v>
      </c>
      <c r="Z320" s="18">
        <v>0</v>
      </c>
      <c r="AA320" s="19">
        <v>0</v>
      </c>
      <c r="AB320" s="108">
        <v>90.9</v>
      </c>
      <c r="AC320" s="19">
        <v>0</v>
      </c>
      <c r="AD320" s="18">
        <f t="shared" si="411"/>
        <v>94.5</v>
      </c>
      <c r="AE320" s="18">
        <v>0</v>
      </c>
      <c r="AF320" s="19">
        <v>0</v>
      </c>
      <c r="AG320" s="107">
        <v>94.5</v>
      </c>
      <c r="AH320" s="19">
        <v>0</v>
      </c>
      <c r="AI320" s="18">
        <f t="shared" si="412"/>
        <v>98.3</v>
      </c>
      <c r="AJ320" s="18">
        <v>0</v>
      </c>
      <c r="AK320" s="19">
        <v>0</v>
      </c>
      <c r="AL320" s="107">
        <v>98.3</v>
      </c>
      <c r="AM320" s="19">
        <v>0</v>
      </c>
    </row>
    <row r="321" spans="1:39" s="2" customFormat="1" ht="78.75" outlineLevel="2" x14ac:dyDescent="0.25">
      <c r="A321" s="8" t="s">
        <v>1157</v>
      </c>
      <c r="B321" s="43" t="s">
        <v>59</v>
      </c>
      <c r="C321" s="26" t="s">
        <v>376</v>
      </c>
      <c r="D321" s="26" t="s">
        <v>118</v>
      </c>
      <c r="E321" s="20">
        <f t="shared" si="402"/>
        <v>683.5</v>
      </c>
      <c r="F321" s="38">
        <f t="shared" si="559"/>
        <v>0</v>
      </c>
      <c r="G321" s="38">
        <f t="shared" si="409"/>
        <v>0</v>
      </c>
      <c r="H321" s="38">
        <f t="shared" si="410"/>
        <v>683.5</v>
      </c>
      <c r="I321" s="38">
        <f t="shared" si="404"/>
        <v>0</v>
      </c>
      <c r="J321" s="18">
        <f t="shared" si="405"/>
        <v>69.8</v>
      </c>
      <c r="K321" s="18">
        <v>0</v>
      </c>
      <c r="L321" s="19">
        <v>0</v>
      </c>
      <c r="M321" s="51">
        <v>69.8</v>
      </c>
      <c r="N321" s="19">
        <v>0</v>
      </c>
      <c r="O321" s="18">
        <f t="shared" si="406"/>
        <v>126</v>
      </c>
      <c r="P321" s="18">
        <v>0</v>
      </c>
      <c r="Q321" s="19">
        <v>0</v>
      </c>
      <c r="R321" s="19">
        <v>126</v>
      </c>
      <c r="S321" s="19">
        <v>0</v>
      </c>
      <c r="T321" s="18">
        <f t="shared" si="407"/>
        <v>141.30000000000001</v>
      </c>
      <c r="U321" s="18">
        <v>0</v>
      </c>
      <c r="V321" s="19">
        <v>0</v>
      </c>
      <c r="W321" s="105">
        <v>141.30000000000001</v>
      </c>
      <c r="X321" s="19">
        <v>0</v>
      </c>
      <c r="Y321" s="18">
        <f t="shared" si="408"/>
        <v>111</v>
      </c>
      <c r="Z321" s="18">
        <v>0</v>
      </c>
      <c r="AA321" s="19">
        <v>0</v>
      </c>
      <c r="AB321" s="107">
        <f>87.3+23.7</f>
        <v>111</v>
      </c>
      <c r="AC321" s="19">
        <v>0</v>
      </c>
      <c r="AD321" s="18">
        <f t="shared" si="411"/>
        <v>115.4</v>
      </c>
      <c r="AE321" s="18">
        <v>0</v>
      </c>
      <c r="AF321" s="19">
        <v>0</v>
      </c>
      <c r="AG321" s="107">
        <f>90.8+24.6</f>
        <v>115.4</v>
      </c>
      <c r="AH321" s="19">
        <v>0</v>
      </c>
      <c r="AI321" s="18">
        <f t="shared" si="412"/>
        <v>120</v>
      </c>
      <c r="AJ321" s="18">
        <v>0</v>
      </c>
      <c r="AK321" s="19">
        <v>0</v>
      </c>
      <c r="AL321" s="107">
        <f>94.4+25.6</f>
        <v>120</v>
      </c>
      <c r="AM321" s="19">
        <v>0</v>
      </c>
    </row>
    <row r="322" spans="1:39" s="2" customFormat="1" ht="78.75" outlineLevel="2" x14ac:dyDescent="0.25">
      <c r="A322" s="8" t="s">
        <v>1158</v>
      </c>
      <c r="B322" s="43" t="s">
        <v>53</v>
      </c>
      <c r="C322" s="26" t="s">
        <v>376</v>
      </c>
      <c r="D322" s="26" t="s">
        <v>118</v>
      </c>
      <c r="E322" s="20">
        <f t="shared" si="402"/>
        <v>378</v>
      </c>
      <c r="F322" s="38">
        <f t="shared" si="559"/>
        <v>0</v>
      </c>
      <c r="G322" s="38">
        <f t="shared" si="409"/>
        <v>0</v>
      </c>
      <c r="H322" s="38">
        <f t="shared" si="410"/>
        <v>378</v>
      </c>
      <c r="I322" s="38">
        <f t="shared" si="404"/>
        <v>0</v>
      </c>
      <c r="J322" s="18">
        <f t="shared" si="405"/>
        <v>42.4</v>
      </c>
      <c r="K322" s="18">
        <v>0</v>
      </c>
      <c r="L322" s="19">
        <v>0</v>
      </c>
      <c r="M322" s="51">
        <v>42.4</v>
      </c>
      <c r="N322" s="19">
        <v>0</v>
      </c>
      <c r="O322" s="18">
        <f t="shared" si="406"/>
        <v>61.5</v>
      </c>
      <c r="P322" s="18">
        <v>0</v>
      </c>
      <c r="Q322" s="19">
        <v>0</v>
      </c>
      <c r="R322" s="19">
        <v>61.5</v>
      </c>
      <c r="S322" s="19">
        <v>0</v>
      </c>
      <c r="T322" s="18">
        <f t="shared" si="407"/>
        <v>76</v>
      </c>
      <c r="U322" s="18">
        <v>0</v>
      </c>
      <c r="V322" s="19">
        <v>0</v>
      </c>
      <c r="W322" s="105">
        <v>76</v>
      </c>
      <c r="X322" s="19">
        <v>0</v>
      </c>
      <c r="Y322" s="18">
        <f t="shared" si="408"/>
        <v>63.5</v>
      </c>
      <c r="Z322" s="18">
        <v>0</v>
      </c>
      <c r="AA322" s="19">
        <v>0</v>
      </c>
      <c r="AB322" s="108">
        <v>63.5</v>
      </c>
      <c r="AC322" s="19">
        <v>0</v>
      </c>
      <c r="AD322" s="18">
        <f t="shared" si="411"/>
        <v>66</v>
      </c>
      <c r="AE322" s="18">
        <v>0</v>
      </c>
      <c r="AF322" s="19">
        <v>0</v>
      </c>
      <c r="AG322" s="107">
        <v>66</v>
      </c>
      <c r="AH322" s="19">
        <v>0</v>
      </c>
      <c r="AI322" s="18">
        <f t="shared" si="412"/>
        <v>68.599999999999994</v>
      </c>
      <c r="AJ322" s="18">
        <v>0</v>
      </c>
      <c r="AK322" s="19">
        <v>0</v>
      </c>
      <c r="AL322" s="107">
        <v>68.599999999999994</v>
      </c>
      <c r="AM322" s="19">
        <v>0</v>
      </c>
    </row>
    <row r="323" spans="1:39" s="2" customFormat="1" ht="78.75" outlineLevel="2" x14ac:dyDescent="0.25">
      <c r="A323" s="8" t="s">
        <v>1159</v>
      </c>
      <c r="B323" s="43" t="s">
        <v>64</v>
      </c>
      <c r="C323" s="26" t="s">
        <v>376</v>
      </c>
      <c r="D323" s="26" t="s">
        <v>118</v>
      </c>
      <c r="E323" s="20">
        <f t="shared" si="402"/>
        <v>444.69999999999993</v>
      </c>
      <c r="F323" s="38">
        <f t="shared" si="559"/>
        <v>0</v>
      </c>
      <c r="G323" s="38">
        <f t="shared" si="409"/>
        <v>0</v>
      </c>
      <c r="H323" s="38">
        <f t="shared" si="410"/>
        <v>444.69999999999993</v>
      </c>
      <c r="I323" s="38">
        <f t="shared" si="404"/>
        <v>0</v>
      </c>
      <c r="J323" s="18">
        <f t="shared" si="405"/>
        <v>43.2</v>
      </c>
      <c r="K323" s="18">
        <v>0</v>
      </c>
      <c r="L323" s="19">
        <v>0</v>
      </c>
      <c r="M323" s="51">
        <v>43.2</v>
      </c>
      <c r="N323" s="19">
        <v>0</v>
      </c>
      <c r="O323" s="18">
        <f t="shared" si="406"/>
        <v>74.099999999999994</v>
      </c>
      <c r="P323" s="18">
        <v>0</v>
      </c>
      <c r="Q323" s="19">
        <v>0</v>
      </c>
      <c r="R323" s="19">
        <v>74.099999999999994</v>
      </c>
      <c r="S323" s="19">
        <v>0</v>
      </c>
      <c r="T323" s="18">
        <f t="shared" si="407"/>
        <v>67.099999999999994</v>
      </c>
      <c r="U323" s="18">
        <v>0</v>
      </c>
      <c r="V323" s="19">
        <v>0</v>
      </c>
      <c r="W323" s="105">
        <v>67.099999999999994</v>
      </c>
      <c r="X323" s="19">
        <v>0</v>
      </c>
      <c r="Y323" s="18">
        <f t="shared" si="408"/>
        <v>83.4</v>
      </c>
      <c r="Z323" s="18">
        <v>0</v>
      </c>
      <c r="AA323" s="19">
        <v>0</v>
      </c>
      <c r="AB323" s="108">
        <v>83.4</v>
      </c>
      <c r="AC323" s="19">
        <v>0</v>
      </c>
      <c r="AD323" s="18">
        <f t="shared" si="411"/>
        <v>86.7</v>
      </c>
      <c r="AE323" s="18">
        <v>0</v>
      </c>
      <c r="AF323" s="19">
        <v>0</v>
      </c>
      <c r="AG323" s="107">
        <v>86.7</v>
      </c>
      <c r="AH323" s="19">
        <v>0</v>
      </c>
      <c r="AI323" s="18">
        <f t="shared" si="412"/>
        <v>90.2</v>
      </c>
      <c r="AJ323" s="18">
        <v>0</v>
      </c>
      <c r="AK323" s="19">
        <v>0</v>
      </c>
      <c r="AL323" s="107">
        <v>90.2</v>
      </c>
      <c r="AM323" s="19">
        <v>0</v>
      </c>
    </row>
    <row r="324" spans="1:39" s="2" customFormat="1" ht="78.75" outlineLevel="2" x14ac:dyDescent="0.25">
      <c r="A324" s="8" t="s">
        <v>1160</v>
      </c>
      <c r="B324" s="43" t="s">
        <v>60</v>
      </c>
      <c r="C324" s="26" t="s">
        <v>376</v>
      </c>
      <c r="D324" s="26" t="s">
        <v>118</v>
      </c>
      <c r="E324" s="20">
        <f t="shared" si="402"/>
        <v>376.4</v>
      </c>
      <c r="F324" s="38">
        <f t="shared" si="559"/>
        <v>0</v>
      </c>
      <c r="G324" s="38">
        <f t="shared" si="409"/>
        <v>0</v>
      </c>
      <c r="H324" s="38">
        <f t="shared" si="410"/>
        <v>376.4</v>
      </c>
      <c r="I324" s="38">
        <f t="shared" si="404"/>
        <v>0</v>
      </c>
      <c r="J324" s="18">
        <f t="shared" si="405"/>
        <v>23.5</v>
      </c>
      <c r="K324" s="18">
        <v>0</v>
      </c>
      <c r="L324" s="19">
        <v>0</v>
      </c>
      <c r="M324" s="51">
        <v>23.5</v>
      </c>
      <c r="N324" s="19">
        <v>0</v>
      </c>
      <c r="O324" s="18">
        <f t="shared" si="406"/>
        <v>74.599999999999994</v>
      </c>
      <c r="P324" s="18">
        <v>0</v>
      </c>
      <c r="Q324" s="19">
        <v>0</v>
      </c>
      <c r="R324" s="19">
        <v>74.599999999999994</v>
      </c>
      <c r="S324" s="19">
        <v>0</v>
      </c>
      <c r="T324" s="18">
        <f t="shared" si="407"/>
        <v>69.099999999999994</v>
      </c>
      <c r="U324" s="18">
        <v>0</v>
      </c>
      <c r="V324" s="19">
        <v>0</v>
      </c>
      <c r="W324" s="105">
        <f>98.8-29.7</f>
        <v>69.099999999999994</v>
      </c>
      <c r="X324" s="19">
        <v>0</v>
      </c>
      <c r="Y324" s="18">
        <f t="shared" si="408"/>
        <v>67</v>
      </c>
      <c r="Z324" s="18">
        <v>0</v>
      </c>
      <c r="AA324" s="19">
        <v>0</v>
      </c>
      <c r="AB324" s="108">
        <v>67</v>
      </c>
      <c r="AC324" s="19">
        <v>0</v>
      </c>
      <c r="AD324" s="18">
        <f t="shared" si="411"/>
        <v>69.7</v>
      </c>
      <c r="AE324" s="18">
        <v>0</v>
      </c>
      <c r="AF324" s="19">
        <v>0</v>
      </c>
      <c r="AG324" s="107">
        <v>69.7</v>
      </c>
      <c r="AH324" s="19">
        <v>0</v>
      </c>
      <c r="AI324" s="18">
        <f t="shared" si="412"/>
        <v>72.5</v>
      </c>
      <c r="AJ324" s="18">
        <v>0</v>
      </c>
      <c r="AK324" s="19">
        <v>0</v>
      </c>
      <c r="AL324" s="107">
        <v>72.5</v>
      </c>
      <c r="AM324" s="19">
        <v>0</v>
      </c>
    </row>
    <row r="325" spans="1:39" s="2" customFormat="1" ht="78.75" outlineLevel="2" x14ac:dyDescent="0.25">
      <c r="A325" s="8" t="s">
        <v>1161</v>
      </c>
      <c r="B325" s="43" t="s">
        <v>51</v>
      </c>
      <c r="C325" s="26" t="s">
        <v>376</v>
      </c>
      <c r="D325" s="26" t="s">
        <v>118</v>
      </c>
      <c r="E325" s="20">
        <f t="shared" si="402"/>
        <v>446.70000000000005</v>
      </c>
      <c r="F325" s="38">
        <f t="shared" si="559"/>
        <v>0</v>
      </c>
      <c r="G325" s="38">
        <f t="shared" si="409"/>
        <v>0</v>
      </c>
      <c r="H325" s="38">
        <f t="shared" si="410"/>
        <v>446.70000000000005</v>
      </c>
      <c r="I325" s="38">
        <f t="shared" si="404"/>
        <v>0</v>
      </c>
      <c r="J325" s="18">
        <f t="shared" si="405"/>
        <v>62.4</v>
      </c>
      <c r="K325" s="18">
        <v>0</v>
      </c>
      <c r="L325" s="19">
        <v>0</v>
      </c>
      <c r="M325" s="51">
        <v>62.4</v>
      </c>
      <c r="N325" s="19">
        <v>0</v>
      </c>
      <c r="O325" s="18">
        <f t="shared" si="406"/>
        <v>87.5</v>
      </c>
      <c r="P325" s="18">
        <v>0</v>
      </c>
      <c r="Q325" s="19">
        <v>0</v>
      </c>
      <c r="R325" s="19">
        <v>87.5</v>
      </c>
      <c r="S325" s="19">
        <v>0</v>
      </c>
      <c r="T325" s="18">
        <f t="shared" si="407"/>
        <v>71.7</v>
      </c>
      <c r="U325" s="18">
        <v>0</v>
      </c>
      <c r="V325" s="19">
        <v>0</v>
      </c>
      <c r="W325" s="105">
        <v>71.7</v>
      </c>
      <c r="X325" s="19">
        <v>0</v>
      </c>
      <c r="Y325" s="18">
        <f t="shared" si="408"/>
        <v>72.099999999999994</v>
      </c>
      <c r="Z325" s="18">
        <v>0</v>
      </c>
      <c r="AA325" s="19">
        <v>0</v>
      </c>
      <c r="AB325" s="108">
        <v>72.099999999999994</v>
      </c>
      <c r="AC325" s="19">
        <v>0</v>
      </c>
      <c r="AD325" s="18">
        <f t="shared" si="411"/>
        <v>75</v>
      </c>
      <c r="AE325" s="18">
        <v>0</v>
      </c>
      <c r="AF325" s="19">
        <v>0</v>
      </c>
      <c r="AG325" s="107">
        <v>75</v>
      </c>
      <c r="AH325" s="19">
        <v>0</v>
      </c>
      <c r="AI325" s="18">
        <f t="shared" si="412"/>
        <v>78</v>
      </c>
      <c r="AJ325" s="18">
        <v>0</v>
      </c>
      <c r="AK325" s="19">
        <v>0</v>
      </c>
      <c r="AL325" s="107">
        <v>78</v>
      </c>
      <c r="AM325" s="19">
        <v>0</v>
      </c>
    </row>
    <row r="326" spans="1:39" s="2" customFormat="1" ht="78.75" outlineLevel="2" x14ac:dyDescent="0.25">
      <c r="A326" s="8" t="s">
        <v>1162</v>
      </c>
      <c r="B326" s="43" t="s">
        <v>63</v>
      </c>
      <c r="C326" s="26" t="s">
        <v>376</v>
      </c>
      <c r="D326" s="26" t="s">
        <v>118</v>
      </c>
      <c r="E326" s="20">
        <f>SUM(F326:I326)</f>
        <v>733</v>
      </c>
      <c r="F326" s="38">
        <f>K326+P326+U326</f>
        <v>0</v>
      </c>
      <c r="G326" s="38">
        <f t="shared" ref="G326:I327" si="560">L326+Q326+V326+AA326+AF326+AK326</f>
        <v>0</v>
      </c>
      <c r="H326" s="38">
        <f t="shared" si="560"/>
        <v>733</v>
      </c>
      <c r="I326" s="38">
        <f t="shared" si="560"/>
        <v>0</v>
      </c>
      <c r="J326" s="18">
        <f>SUM(K326:N326)</f>
        <v>0</v>
      </c>
      <c r="K326" s="18">
        <v>0</v>
      </c>
      <c r="L326" s="19">
        <v>0</v>
      </c>
      <c r="M326" s="51">
        <v>0</v>
      </c>
      <c r="N326" s="19">
        <v>0</v>
      </c>
      <c r="O326" s="18">
        <f>SUM(P326:S326)</f>
        <v>639.79999999999995</v>
      </c>
      <c r="P326" s="18">
        <v>0</v>
      </c>
      <c r="Q326" s="19">
        <v>0</v>
      </c>
      <c r="R326" s="19">
        <v>639.79999999999995</v>
      </c>
      <c r="S326" s="19">
        <v>0</v>
      </c>
      <c r="T326" s="18">
        <f>SUM(U326:X326)</f>
        <v>22.1</v>
      </c>
      <c r="U326" s="18">
        <v>0</v>
      </c>
      <c r="V326" s="19">
        <v>0</v>
      </c>
      <c r="W326" s="105">
        <v>22.1</v>
      </c>
      <c r="X326" s="19">
        <v>0</v>
      </c>
      <c r="Y326" s="18">
        <f>SUM(Z326:AC326)</f>
        <v>22.8</v>
      </c>
      <c r="Z326" s="18">
        <v>0</v>
      </c>
      <c r="AA326" s="19">
        <v>0</v>
      </c>
      <c r="AB326" s="108">
        <v>22.8</v>
      </c>
      <c r="AC326" s="19">
        <v>0</v>
      </c>
      <c r="AD326" s="18">
        <f>SUM(AE326:AH326)</f>
        <v>23.7</v>
      </c>
      <c r="AE326" s="18">
        <v>0</v>
      </c>
      <c r="AF326" s="19">
        <v>0</v>
      </c>
      <c r="AG326" s="107">
        <v>23.7</v>
      </c>
      <c r="AH326" s="19">
        <v>0</v>
      </c>
      <c r="AI326" s="18">
        <f>SUM(AJ326:AM326)</f>
        <v>24.6</v>
      </c>
      <c r="AJ326" s="18">
        <v>0</v>
      </c>
      <c r="AK326" s="19">
        <v>0</v>
      </c>
      <c r="AL326" s="107">
        <v>24.6</v>
      </c>
      <c r="AM326" s="19">
        <v>0</v>
      </c>
    </row>
    <row r="327" spans="1:39" s="2" customFormat="1" ht="78.75" outlineLevel="2" x14ac:dyDescent="0.25">
      <c r="A327" s="8" t="s">
        <v>1163</v>
      </c>
      <c r="B327" s="43" t="s">
        <v>66</v>
      </c>
      <c r="C327" s="26" t="s">
        <v>376</v>
      </c>
      <c r="D327" s="26" t="s">
        <v>118</v>
      </c>
      <c r="E327" s="20">
        <f>SUM(F327:I327)</f>
        <v>103.10000000000001</v>
      </c>
      <c r="F327" s="38">
        <f>K327+P327+U327</f>
        <v>0</v>
      </c>
      <c r="G327" s="38">
        <f t="shared" si="560"/>
        <v>0</v>
      </c>
      <c r="H327" s="38">
        <f t="shared" si="560"/>
        <v>103.10000000000001</v>
      </c>
      <c r="I327" s="38">
        <f t="shared" si="560"/>
        <v>0</v>
      </c>
      <c r="J327" s="18">
        <f>SUM(K327:N327)</f>
        <v>0</v>
      </c>
      <c r="K327" s="18">
        <v>0</v>
      </c>
      <c r="L327" s="19">
        <v>0</v>
      </c>
      <c r="M327" s="51">
        <v>0</v>
      </c>
      <c r="N327" s="19">
        <v>0</v>
      </c>
      <c r="O327" s="18">
        <f>SUM(P327:S327)</f>
        <v>0</v>
      </c>
      <c r="P327" s="18">
        <v>0</v>
      </c>
      <c r="Q327" s="19">
        <v>0</v>
      </c>
      <c r="R327" s="19">
        <v>0</v>
      </c>
      <c r="S327" s="19">
        <v>0</v>
      </c>
      <c r="T327" s="18">
        <f>SUM(U327:X327)</f>
        <v>0</v>
      </c>
      <c r="U327" s="18">
        <v>0</v>
      </c>
      <c r="V327" s="19">
        <v>0</v>
      </c>
      <c r="W327" s="105">
        <v>0</v>
      </c>
      <c r="X327" s="19">
        <v>0</v>
      </c>
      <c r="Y327" s="18">
        <f>SUM(Z327:AC327)</f>
        <v>33.1</v>
      </c>
      <c r="Z327" s="18">
        <v>0</v>
      </c>
      <c r="AA327" s="19">
        <v>0</v>
      </c>
      <c r="AB327" s="108">
        <v>33.1</v>
      </c>
      <c r="AC327" s="19">
        <v>0</v>
      </c>
      <c r="AD327" s="18">
        <f>SUM(AE327:AH327)</f>
        <v>34.299999999999997</v>
      </c>
      <c r="AE327" s="18">
        <v>0</v>
      </c>
      <c r="AF327" s="19">
        <v>0</v>
      </c>
      <c r="AG327" s="107">
        <v>34.299999999999997</v>
      </c>
      <c r="AH327" s="19">
        <v>0</v>
      </c>
      <c r="AI327" s="18">
        <f>SUM(AJ327:AM327)</f>
        <v>35.700000000000003</v>
      </c>
      <c r="AJ327" s="18">
        <v>0</v>
      </c>
      <c r="AK327" s="19">
        <v>0</v>
      </c>
      <c r="AL327" s="107">
        <v>35.700000000000003</v>
      </c>
      <c r="AM327" s="19">
        <v>0</v>
      </c>
    </row>
    <row r="328" spans="1:39" s="5" customFormat="1" ht="48" customHeight="1" x14ac:dyDescent="0.25">
      <c r="A328" s="165" t="s">
        <v>358</v>
      </c>
      <c r="B328" s="209" t="s">
        <v>424</v>
      </c>
      <c r="C328" s="210"/>
      <c r="D328" s="211"/>
      <c r="E328" s="18">
        <f t="shared" ref="E328:AM328" si="561">E329+E339+E363+E421+E424+E427+E433+E438+E462+E464+E489+E492+E494+E496</f>
        <v>1704209.4999999998</v>
      </c>
      <c r="F328" s="18">
        <f t="shared" si="561"/>
        <v>0</v>
      </c>
      <c r="G328" s="18">
        <f t="shared" si="561"/>
        <v>116611.6</v>
      </c>
      <c r="H328" s="18">
        <f t="shared" si="561"/>
        <v>1587597.8999999997</v>
      </c>
      <c r="I328" s="18">
        <f t="shared" si="561"/>
        <v>0</v>
      </c>
      <c r="J328" s="18">
        <f t="shared" si="561"/>
        <v>369720.5</v>
      </c>
      <c r="K328" s="18">
        <f t="shared" si="561"/>
        <v>0</v>
      </c>
      <c r="L328" s="18">
        <f t="shared" si="561"/>
        <v>116611.6</v>
      </c>
      <c r="M328" s="18">
        <f t="shared" si="561"/>
        <v>253108.90000000002</v>
      </c>
      <c r="N328" s="18">
        <f t="shared" si="561"/>
        <v>0</v>
      </c>
      <c r="O328" s="18">
        <f t="shared" si="561"/>
        <v>235809.39999999997</v>
      </c>
      <c r="P328" s="18">
        <f t="shared" si="561"/>
        <v>0</v>
      </c>
      <c r="Q328" s="18">
        <f t="shared" si="561"/>
        <v>0</v>
      </c>
      <c r="R328" s="18">
        <f t="shared" si="561"/>
        <v>235809.39999999997</v>
      </c>
      <c r="S328" s="18">
        <f t="shared" si="561"/>
        <v>0</v>
      </c>
      <c r="T328" s="18">
        <f t="shared" si="561"/>
        <v>253791.4</v>
      </c>
      <c r="U328" s="18">
        <f t="shared" si="561"/>
        <v>0</v>
      </c>
      <c r="V328" s="18">
        <f t="shared" si="561"/>
        <v>0</v>
      </c>
      <c r="W328" s="18">
        <f t="shared" si="561"/>
        <v>253791.4</v>
      </c>
      <c r="X328" s="18">
        <f t="shared" si="561"/>
        <v>0</v>
      </c>
      <c r="Y328" s="18">
        <f t="shared" si="561"/>
        <v>259021.40000000002</v>
      </c>
      <c r="Z328" s="18">
        <f t="shared" si="561"/>
        <v>0</v>
      </c>
      <c r="AA328" s="18">
        <f t="shared" si="561"/>
        <v>0</v>
      </c>
      <c r="AB328" s="18">
        <f t="shared" si="561"/>
        <v>259021.40000000002</v>
      </c>
      <c r="AC328" s="18">
        <f t="shared" si="561"/>
        <v>0</v>
      </c>
      <c r="AD328" s="18">
        <f t="shared" si="561"/>
        <v>263713.7</v>
      </c>
      <c r="AE328" s="18">
        <f t="shared" si="561"/>
        <v>0</v>
      </c>
      <c r="AF328" s="18">
        <f t="shared" si="561"/>
        <v>0</v>
      </c>
      <c r="AG328" s="18">
        <f t="shared" si="561"/>
        <v>263713.7</v>
      </c>
      <c r="AH328" s="18">
        <f t="shared" si="561"/>
        <v>0</v>
      </c>
      <c r="AI328" s="18">
        <f t="shared" si="561"/>
        <v>322153.09999999998</v>
      </c>
      <c r="AJ328" s="18">
        <f t="shared" si="561"/>
        <v>0</v>
      </c>
      <c r="AK328" s="18">
        <f t="shared" si="561"/>
        <v>0</v>
      </c>
      <c r="AL328" s="18">
        <f t="shared" si="561"/>
        <v>322153.09999999998</v>
      </c>
      <c r="AM328" s="18">
        <f t="shared" si="561"/>
        <v>0</v>
      </c>
    </row>
    <row r="329" spans="1:39" s="5" customFormat="1" ht="33.75" customHeight="1" outlineLevel="1" x14ac:dyDescent="0.25">
      <c r="A329" s="165" t="s">
        <v>191</v>
      </c>
      <c r="B329" s="209" t="s">
        <v>21</v>
      </c>
      <c r="C329" s="210"/>
      <c r="D329" s="211"/>
      <c r="E329" s="18">
        <f>SUM(E330:E338)</f>
        <v>178208.00000000003</v>
      </c>
      <c r="F329" s="18">
        <f>SUM(F330:F337)</f>
        <v>0</v>
      </c>
      <c r="G329" s="18">
        <f t="shared" ref="G329:T329" si="562">SUM(G330:G338)</f>
        <v>116611.6</v>
      </c>
      <c r="H329" s="18">
        <f t="shared" si="562"/>
        <v>61596.399999999994</v>
      </c>
      <c r="I329" s="18">
        <f t="shared" si="562"/>
        <v>0</v>
      </c>
      <c r="J329" s="18">
        <f t="shared" si="562"/>
        <v>171046.40000000002</v>
      </c>
      <c r="K329" s="18">
        <f t="shared" si="562"/>
        <v>0</v>
      </c>
      <c r="L329" s="18">
        <f t="shared" si="562"/>
        <v>116611.6</v>
      </c>
      <c r="M329" s="18">
        <f t="shared" si="562"/>
        <v>54434.8</v>
      </c>
      <c r="N329" s="18">
        <f t="shared" si="562"/>
        <v>0</v>
      </c>
      <c r="O329" s="18">
        <f t="shared" si="562"/>
        <v>3854.7999999999997</v>
      </c>
      <c r="P329" s="18">
        <f t="shared" si="562"/>
        <v>0</v>
      </c>
      <c r="Q329" s="18">
        <f t="shared" si="562"/>
        <v>0</v>
      </c>
      <c r="R329" s="18">
        <f>SUM(R330:R338)</f>
        <v>3854.7999999999997</v>
      </c>
      <c r="S329" s="18">
        <f t="shared" si="562"/>
        <v>0</v>
      </c>
      <c r="T329" s="18">
        <f t="shared" si="562"/>
        <v>3306.8</v>
      </c>
      <c r="U329" s="18">
        <f>SUM(U330:U337)</f>
        <v>0</v>
      </c>
      <c r="V329" s="18">
        <f>SUM(V330:V338)</f>
        <v>0</v>
      </c>
      <c r="W329" s="18">
        <f>SUM(W330:W338)</f>
        <v>3306.8</v>
      </c>
      <c r="X329" s="18">
        <f>SUM(X330:X338)</f>
        <v>0</v>
      </c>
      <c r="Y329" s="18">
        <f>SUM(Y330:Y338)</f>
        <v>0</v>
      </c>
      <c r="Z329" s="18">
        <f>SUM(Z330:Z337)</f>
        <v>0</v>
      </c>
      <c r="AA329" s="18">
        <f>SUM(AA330:AA338)</f>
        <v>0</v>
      </c>
      <c r="AB329" s="18">
        <f>SUM(AB330:AB338)</f>
        <v>0</v>
      </c>
      <c r="AC329" s="18">
        <f>SUM(AC330:AC338)</f>
        <v>0</v>
      </c>
      <c r="AD329" s="18">
        <f>SUM(AD330:AD338)</f>
        <v>0</v>
      </c>
      <c r="AE329" s="18">
        <f>SUM(AE330:AE337)</f>
        <v>0</v>
      </c>
      <c r="AF329" s="18">
        <f>SUM(AF330:AF338)</f>
        <v>0</v>
      </c>
      <c r="AG329" s="18">
        <f>SUM(AG330:AG338)</f>
        <v>0</v>
      </c>
      <c r="AH329" s="18">
        <f>SUM(AH330:AH338)</f>
        <v>0</v>
      </c>
      <c r="AI329" s="18">
        <f>SUM(AI330:AI338)</f>
        <v>0</v>
      </c>
      <c r="AJ329" s="18">
        <f>SUM(AJ330:AJ337)</f>
        <v>0</v>
      </c>
      <c r="AK329" s="18">
        <f>SUM(AK330:AK338)</f>
        <v>0</v>
      </c>
      <c r="AL329" s="18">
        <f>SUM(AL330:AL338)</f>
        <v>0</v>
      </c>
      <c r="AM329" s="18">
        <f>SUM(AM330:AM338)</f>
        <v>0</v>
      </c>
    </row>
    <row r="330" spans="1:39" s="2" customFormat="1" ht="47.25" outlineLevel="2" x14ac:dyDescent="0.25">
      <c r="A330" s="8" t="s">
        <v>190</v>
      </c>
      <c r="B330" s="32" t="s">
        <v>362</v>
      </c>
      <c r="C330" s="26" t="s">
        <v>31</v>
      </c>
      <c r="D330" s="31" t="s">
        <v>8</v>
      </c>
      <c r="E330" s="20">
        <f t="shared" ref="E330:E337" si="563">SUM(F330:I330)</f>
        <v>5250.2999999999993</v>
      </c>
      <c r="F330" s="38">
        <f>K330+P330+U330</f>
        <v>0</v>
      </c>
      <c r="G330" s="38">
        <f>L330+Q330+V330+AA330+AF330+AK330</f>
        <v>0</v>
      </c>
      <c r="H330" s="38">
        <f>M330+R330+W330+AB330+AG330+AL330</f>
        <v>5250.2999999999993</v>
      </c>
      <c r="I330" s="38">
        <f t="shared" ref="I330:I337" si="564">N330+S330+X330+AC330+AH330+AM330</f>
        <v>0</v>
      </c>
      <c r="J330" s="18">
        <f t="shared" ref="J330:J337" si="565">SUM(K330:N330)</f>
        <v>5250.2999999999993</v>
      </c>
      <c r="K330" s="19">
        <v>0</v>
      </c>
      <c r="L330" s="19">
        <v>0</v>
      </c>
      <c r="M330" s="19">
        <f>5244.9+5.4</f>
        <v>5250.2999999999993</v>
      </c>
      <c r="N330" s="19">
        <v>0</v>
      </c>
      <c r="O330" s="18">
        <f t="shared" ref="O330:O337" si="566">SUM(P330:S330)</f>
        <v>0</v>
      </c>
      <c r="P330" s="19">
        <v>0</v>
      </c>
      <c r="Q330" s="19">
        <v>0</v>
      </c>
      <c r="R330" s="19">
        <v>0</v>
      </c>
      <c r="S330" s="19">
        <v>0</v>
      </c>
      <c r="T330" s="18">
        <f t="shared" ref="T330:T337" si="567">SUM(U330:X330)</f>
        <v>0</v>
      </c>
      <c r="U330" s="19">
        <v>0</v>
      </c>
      <c r="V330" s="19">
        <v>0</v>
      </c>
      <c r="W330" s="19">
        <v>0</v>
      </c>
      <c r="X330" s="19">
        <v>0</v>
      </c>
      <c r="Y330" s="18">
        <f t="shared" ref="Y330:Y337" si="568">SUM(Z330:AC330)</f>
        <v>0</v>
      </c>
      <c r="Z330" s="19">
        <v>0</v>
      </c>
      <c r="AA330" s="19">
        <v>0</v>
      </c>
      <c r="AB330" s="19">
        <v>0</v>
      </c>
      <c r="AC330" s="19">
        <v>0</v>
      </c>
      <c r="AD330" s="18">
        <f t="shared" ref="AD330:AD337" si="569">SUM(AE330:AH330)</f>
        <v>0</v>
      </c>
      <c r="AE330" s="19">
        <v>0</v>
      </c>
      <c r="AF330" s="19">
        <v>0</v>
      </c>
      <c r="AG330" s="19">
        <v>0</v>
      </c>
      <c r="AH330" s="19">
        <v>0</v>
      </c>
      <c r="AI330" s="18">
        <f t="shared" ref="AI330:AI337" si="570">SUM(AJ330:AM330)</f>
        <v>0</v>
      </c>
      <c r="AJ330" s="19">
        <v>0</v>
      </c>
      <c r="AK330" s="19">
        <v>0</v>
      </c>
      <c r="AL330" s="19">
        <v>0</v>
      </c>
      <c r="AM330" s="19">
        <v>0</v>
      </c>
    </row>
    <row r="331" spans="1:39" s="2" customFormat="1" ht="78.75" outlineLevel="2" x14ac:dyDescent="0.25">
      <c r="A331" s="8" t="s">
        <v>193</v>
      </c>
      <c r="B331" s="49" t="s">
        <v>42</v>
      </c>
      <c r="C331" s="26" t="s">
        <v>376</v>
      </c>
      <c r="D331" s="31" t="s">
        <v>8</v>
      </c>
      <c r="E331" s="20">
        <f t="shared" si="563"/>
        <v>122583.1</v>
      </c>
      <c r="F331" s="38">
        <f t="shared" ref="F331:F336" si="571">K331+P331+U331</f>
        <v>0</v>
      </c>
      <c r="G331" s="38">
        <f t="shared" ref="F331:G337" si="572">L331+Q331+V331+AA331+AF331+AK331</f>
        <v>102210.3</v>
      </c>
      <c r="H331" s="38">
        <f t="shared" ref="H331:H337" si="573">M331+R331+W331+AB331+AG331+AL331</f>
        <v>20372.8</v>
      </c>
      <c r="I331" s="38">
        <f t="shared" si="564"/>
        <v>0</v>
      </c>
      <c r="J331" s="18">
        <f t="shared" si="565"/>
        <v>122583.1</v>
      </c>
      <c r="K331" s="19">
        <v>0</v>
      </c>
      <c r="L331" s="19">
        <f>103464.1-1253.8</f>
        <v>102210.3</v>
      </c>
      <c r="M331" s="19">
        <f>19340.3+1045.1-12.6</f>
        <v>20372.8</v>
      </c>
      <c r="N331" s="19">
        <v>0</v>
      </c>
      <c r="O331" s="18">
        <f t="shared" si="566"/>
        <v>0</v>
      </c>
      <c r="P331" s="19">
        <v>0</v>
      </c>
      <c r="Q331" s="19">
        <v>0</v>
      </c>
      <c r="R331" s="19">
        <v>0</v>
      </c>
      <c r="S331" s="19">
        <v>0</v>
      </c>
      <c r="T331" s="18">
        <f t="shared" si="567"/>
        <v>0</v>
      </c>
      <c r="U331" s="19">
        <v>0</v>
      </c>
      <c r="V331" s="19">
        <v>0</v>
      </c>
      <c r="W331" s="19">
        <v>0</v>
      </c>
      <c r="X331" s="19">
        <v>0</v>
      </c>
      <c r="Y331" s="18">
        <f t="shared" si="568"/>
        <v>0</v>
      </c>
      <c r="Z331" s="19">
        <v>0</v>
      </c>
      <c r="AA331" s="19">
        <v>0</v>
      </c>
      <c r="AB331" s="19">
        <v>0</v>
      </c>
      <c r="AC331" s="19">
        <v>0</v>
      </c>
      <c r="AD331" s="18">
        <f t="shared" si="569"/>
        <v>0</v>
      </c>
      <c r="AE331" s="19">
        <v>0</v>
      </c>
      <c r="AF331" s="19">
        <v>0</v>
      </c>
      <c r="AG331" s="19">
        <v>0</v>
      </c>
      <c r="AH331" s="19">
        <v>0</v>
      </c>
      <c r="AI331" s="18">
        <f t="shared" si="570"/>
        <v>0</v>
      </c>
      <c r="AJ331" s="19">
        <v>0</v>
      </c>
      <c r="AK331" s="19">
        <v>0</v>
      </c>
      <c r="AL331" s="19">
        <v>0</v>
      </c>
      <c r="AM331" s="19">
        <v>0</v>
      </c>
    </row>
    <row r="332" spans="1:39" s="2" customFormat="1" ht="69.75" customHeight="1" outlineLevel="2" x14ac:dyDescent="0.25">
      <c r="A332" s="8" t="s">
        <v>194</v>
      </c>
      <c r="B332" s="29" t="s">
        <v>113</v>
      </c>
      <c r="C332" s="26" t="s">
        <v>32</v>
      </c>
      <c r="D332" s="31" t="s">
        <v>8</v>
      </c>
      <c r="E332" s="20">
        <f t="shared" si="563"/>
        <v>2300</v>
      </c>
      <c r="F332" s="38">
        <f t="shared" si="571"/>
        <v>0</v>
      </c>
      <c r="G332" s="38">
        <f t="shared" si="572"/>
        <v>0</v>
      </c>
      <c r="H332" s="38">
        <f t="shared" si="573"/>
        <v>2300</v>
      </c>
      <c r="I332" s="38">
        <f t="shared" si="564"/>
        <v>0</v>
      </c>
      <c r="J332" s="18">
        <f t="shared" si="565"/>
        <v>0</v>
      </c>
      <c r="K332" s="19">
        <v>0</v>
      </c>
      <c r="L332" s="19">
        <v>0</v>
      </c>
      <c r="M332" s="19">
        <v>0</v>
      </c>
      <c r="N332" s="19">
        <v>0</v>
      </c>
      <c r="O332" s="18">
        <f t="shared" si="566"/>
        <v>0</v>
      </c>
      <c r="P332" s="19">
        <v>0</v>
      </c>
      <c r="Q332" s="19">
        <v>0</v>
      </c>
      <c r="R332" s="19">
        <f>2300-2300</f>
        <v>0</v>
      </c>
      <c r="S332" s="19">
        <v>0</v>
      </c>
      <c r="T332" s="18">
        <f t="shared" si="567"/>
        <v>2300</v>
      </c>
      <c r="U332" s="19">
        <v>0</v>
      </c>
      <c r="V332" s="19">
        <v>0</v>
      </c>
      <c r="W332" s="19">
        <v>2300</v>
      </c>
      <c r="X332" s="19">
        <v>0</v>
      </c>
      <c r="Y332" s="18">
        <f t="shared" si="568"/>
        <v>0</v>
      </c>
      <c r="Z332" s="19">
        <v>0</v>
      </c>
      <c r="AA332" s="19">
        <v>0</v>
      </c>
      <c r="AB332" s="19">
        <v>0</v>
      </c>
      <c r="AC332" s="19">
        <v>0</v>
      </c>
      <c r="AD332" s="18">
        <f t="shared" si="569"/>
        <v>0</v>
      </c>
      <c r="AE332" s="19">
        <v>0</v>
      </c>
      <c r="AF332" s="19">
        <v>0</v>
      </c>
      <c r="AG332" s="19">
        <v>0</v>
      </c>
      <c r="AH332" s="19">
        <v>0</v>
      </c>
      <c r="AI332" s="18">
        <f t="shared" si="570"/>
        <v>0</v>
      </c>
      <c r="AJ332" s="19">
        <v>0</v>
      </c>
      <c r="AK332" s="19">
        <v>0</v>
      </c>
      <c r="AL332" s="19">
        <v>0</v>
      </c>
      <c r="AM332" s="19">
        <v>0</v>
      </c>
    </row>
    <row r="333" spans="1:39" s="2" customFormat="1" ht="63" outlineLevel="2" x14ac:dyDescent="0.25">
      <c r="A333" s="8" t="s">
        <v>195</v>
      </c>
      <c r="B333" s="29" t="s">
        <v>114</v>
      </c>
      <c r="C333" s="26" t="s">
        <v>32</v>
      </c>
      <c r="D333" s="31" t="s">
        <v>8</v>
      </c>
      <c r="E333" s="20">
        <f t="shared" si="563"/>
        <v>1974.6</v>
      </c>
      <c r="F333" s="38">
        <f t="shared" si="571"/>
        <v>0</v>
      </c>
      <c r="G333" s="38">
        <f t="shared" si="572"/>
        <v>0</v>
      </c>
      <c r="H333" s="38">
        <f t="shared" si="573"/>
        <v>1974.6</v>
      </c>
      <c r="I333" s="38">
        <f t="shared" si="564"/>
        <v>0</v>
      </c>
      <c r="J333" s="18">
        <f t="shared" si="565"/>
        <v>0</v>
      </c>
      <c r="K333" s="19">
        <v>0</v>
      </c>
      <c r="L333" s="19">
        <v>0</v>
      </c>
      <c r="M333" s="19">
        <v>0</v>
      </c>
      <c r="N333" s="19">
        <v>0</v>
      </c>
      <c r="O333" s="18">
        <f t="shared" si="566"/>
        <v>1974.6</v>
      </c>
      <c r="P333" s="19">
        <v>0</v>
      </c>
      <c r="Q333" s="19">
        <v>0</v>
      </c>
      <c r="R333" s="19">
        <f>4200-2225.4</f>
        <v>1974.6</v>
      </c>
      <c r="S333" s="19">
        <v>0</v>
      </c>
      <c r="T333" s="18">
        <f t="shared" si="567"/>
        <v>0</v>
      </c>
      <c r="U333" s="19">
        <v>0</v>
      </c>
      <c r="V333" s="19">
        <v>0</v>
      </c>
      <c r="W333" s="19">
        <v>0</v>
      </c>
      <c r="X333" s="19">
        <v>0</v>
      </c>
      <c r="Y333" s="18">
        <f t="shared" si="568"/>
        <v>0</v>
      </c>
      <c r="Z333" s="19">
        <v>0</v>
      </c>
      <c r="AA333" s="19">
        <v>0</v>
      </c>
      <c r="AB333" s="19">
        <v>0</v>
      </c>
      <c r="AC333" s="19">
        <v>0</v>
      </c>
      <c r="AD333" s="18">
        <f t="shared" si="569"/>
        <v>0</v>
      </c>
      <c r="AE333" s="19">
        <v>0</v>
      </c>
      <c r="AF333" s="19">
        <v>0</v>
      </c>
      <c r="AG333" s="19">
        <v>0</v>
      </c>
      <c r="AH333" s="19">
        <v>0</v>
      </c>
      <c r="AI333" s="18">
        <f t="shared" si="570"/>
        <v>0</v>
      </c>
      <c r="AJ333" s="19">
        <v>0</v>
      </c>
      <c r="AK333" s="19">
        <v>0</v>
      </c>
      <c r="AL333" s="19">
        <v>0</v>
      </c>
      <c r="AM333" s="19">
        <v>0</v>
      </c>
    </row>
    <row r="334" spans="1:39" s="2" customFormat="1" ht="31.5" outlineLevel="2" x14ac:dyDescent="0.25">
      <c r="A334" s="8" t="s">
        <v>196</v>
      </c>
      <c r="B334" s="30" t="s">
        <v>115</v>
      </c>
      <c r="C334" s="26" t="s">
        <v>32</v>
      </c>
      <c r="D334" s="26" t="s">
        <v>8</v>
      </c>
      <c r="E334" s="20">
        <f t="shared" si="563"/>
        <v>29147</v>
      </c>
      <c r="F334" s="38">
        <f t="shared" si="571"/>
        <v>0</v>
      </c>
      <c r="G334" s="38">
        <f t="shared" si="572"/>
        <v>0</v>
      </c>
      <c r="H334" s="38">
        <f t="shared" si="573"/>
        <v>29147</v>
      </c>
      <c r="I334" s="38">
        <f t="shared" si="564"/>
        <v>0</v>
      </c>
      <c r="J334" s="18">
        <f t="shared" si="565"/>
        <v>28666.2</v>
      </c>
      <c r="K334" s="19">
        <v>0</v>
      </c>
      <c r="L334" s="19">
        <v>0</v>
      </c>
      <c r="M334" s="19">
        <v>28666.2</v>
      </c>
      <c r="N334" s="19">
        <v>0</v>
      </c>
      <c r="O334" s="18">
        <f t="shared" si="566"/>
        <v>480.8</v>
      </c>
      <c r="P334" s="19">
        <v>0</v>
      </c>
      <c r="Q334" s="19">
        <v>0</v>
      </c>
      <c r="R334" s="19">
        <v>480.8</v>
      </c>
      <c r="S334" s="19">
        <v>0</v>
      </c>
      <c r="T334" s="18">
        <f t="shared" si="567"/>
        <v>0</v>
      </c>
      <c r="U334" s="19">
        <v>0</v>
      </c>
      <c r="V334" s="19">
        <v>0</v>
      </c>
      <c r="W334" s="19">
        <v>0</v>
      </c>
      <c r="X334" s="19">
        <v>0</v>
      </c>
      <c r="Y334" s="18">
        <f t="shared" si="568"/>
        <v>0</v>
      </c>
      <c r="Z334" s="19">
        <v>0</v>
      </c>
      <c r="AA334" s="19">
        <v>0</v>
      </c>
      <c r="AB334" s="19">
        <v>0</v>
      </c>
      <c r="AC334" s="19">
        <v>0</v>
      </c>
      <c r="AD334" s="18">
        <f t="shared" si="569"/>
        <v>0</v>
      </c>
      <c r="AE334" s="19">
        <v>0</v>
      </c>
      <c r="AF334" s="19">
        <v>0</v>
      </c>
      <c r="AG334" s="19">
        <v>0</v>
      </c>
      <c r="AH334" s="19">
        <v>0</v>
      </c>
      <c r="AI334" s="18">
        <f t="shared" si="570"/>
        <v>0</v>
      </c>
      <c r="AJ334" s="19">
        <v>0</v>
      </c>
      <c r="AK334" s="19">
        <v>0</v>
      </c>
      <c r="AL334" s="19">
        <v>0</v>
      </c>
      <c r="AM334" s="19">
        <v>0</v>
      </c>
    </row>
    <row r="335" spans="1:39" s="2" customFormat="1" ht="78.75" outlineLevel="2" x14ac:dyDescent="0.25">
      <c r="A335" s="8" t="s">
        <v>261</v>
      </c>
      <c r="B335" s="30" t="s">
        <v>262</v>
      </c>
      <c r="C335" s="26" t="s">
        <v>376</v>
      </c>
      <c r="D335" s="26" t="s">
        <v>31</v>
      </c>
      <c r="E335" s="20">
        <f t="shared" si="563"/>
        <v>13070.2</v>
      </c>
      <c r="F335" s="38">
        <f t="shared" si="571"/>
        <v>0</v>
      </c>
      <c r="G335" s="38">
        <f t="shared" si="572"/>
        <v>12939.5</v>
      </c>
      <c r="H335" s="38">
        <f t="shared" si="573"/>
        <v>130.69999999999999</v>
      </c>
      <c r="I335" s="38">
        <f t="shared" si="564"/>
        <v>0</v>
      </c>
      <c r="J335" s="18">
        <f t="shared" si="565"/>
        <v>13070.2</v>
      </c>
      <c r="K335" s="19">
        <v>0</v>
      </c>
      <c r="L335" s="19">
        <v>12939.5</v>
      </c>
      <c r="M335" s="19">
        <v>130.69999999999999</v>
      </c>
      <c r="N335" s="19">
        <v>0</v>
      </c>
      <c r="O335" s="18">
        <f t="shared" si="566"/>
        <v>0</v>
      </c>
      <c r="P335" s="19">
        <v>0</v>
      </c>
      <c r="Q335" s="19">
        <v>0</v>
      </c>
      <c r="R335" s="19">
        <v>0</v>
      </c>
      <c r="S335" s="19">
        <v>0</v>
      </c>
      <c r="T335" s="18">
        <f t="shared" si="567"/>
        <v>0</v>
      </c>
      <c r="U335" s="19">
        <v>0</v>
      </c>
      <c r="V335" s="19">
        <v>0</v>
      </c>
      <c r="W335" s="19">
        <v>0</v>
      </c>
      <c r="X335" s="19">
        <v>0</v>
      </c>
      <c r="Y335" s="18">
        <f t="shared" si="568"/>
        <v>0</v>
      </c>
      <c r="Z335" s="19">
        <v>0</v>
      </c>
      <c r="AA335" s="19">
        <v>0</v>
      </c>
      <c r="AB335" s="19">
        <v>0</v>
      </c>
      <c r="AC335" s="19">
        <v>0</v>
      </c>
      <c r="AD335" s="18">
        <f t="shared" si="569"/>
        <v>0</v>
      </c>
      <c r="AE335" s="19">
        <v>0</v>
      </c>
      <c r="AF335" s="19">
        <v>0</v>
      </c>
      <c r="AG335" s="19">
        <v>0</v>
      </c>
      <c r="AH335" s="19">
        <v>0</v>
      </c>
      <c r="AI335" s="18">
        <f t="shared" si="570"/>
        <v>0</v>
      </c>
      <c r="AJ335" s="19">
        <v>0</v>
      </c>
      <c r="AK335" s="19">
        <v>0</v>
      </c>
      <c r="AL335" s="19">
        <v>0</v>
      </c>
      <c r="AM335" s="19">
        <v>0</v>
      </c>
    </row>
    <row r="336" spans="1:39" s="2" customFormat="1" ht="47.25" outlineLevel="2" x14ac:dyDescent="0.25">
      <c r="A336" s="8" t="s">
        <v>263</v>
      </c>
      <c r="B336" s="33" t="s">
        <v>270</v>
      </c>
      <c r="C336" s="26" t="s">
        <v>32</v>
      </c>
      <c r="D336" s="26" t="s">
        <v>8</v>
      </c>
      <c r="E336" s="20">
        <f t="shared" si="563"/>
        <v>1476.6</v>
      </c>
      <c r="F336" s="38">
        <f t="shared" si="571"/>
        <v>0</v>
      </c>
      <c r="G336" s="38">
        <f t="shared" si="572"/>
        <v>1461.8</v>
      </c>
      <c r="H336" s="38">
        <f t="shared" si="573"/>
        <v>14.8</v>
      </c>
      <c r="I336" s="38">
        <f t="shared" si="564"/>
        <v>0</v>
      </c>
      <c r="J336" s="18">
        <f t="shared" si="565"/>
        <v>1476.6</v>
      </c>
      <c r="K336" s="19">
        <v>0</v>
      </c>
      <c r="L336" s="19">
        <v>1461.8</v>
      </c>
      <c r="M336" s="19">
        <v>14.8</v>
      </c>
      <c r="N336" s="19">
        <v>0</v>
      </c>
      <c r="O336" s="18">
        <f t="shared" si="566"/>
        <v>0</v>
      </c>
      <c r="P336" s="19">
        <v>0</v>
      </c>
      <c r="Q336" s="19">
        <v>0</v>
      </c>
      <c r="R336" s="19">
        <v>0</v>
      </c>
      <c r="S336" s="19">
        <v>0</v>
      </c>
      <c r="T336" s="18">
        <f t="shared" si="567"/>
        <v>0</v>
      </c>
      <c r="U336" s="19">
        <v>0</v>
      </c>
      <c r="V336" s="19">
        <v>0</v>
      </c>
      <c r="W336" s="19">
        <v>0</v>
      </c>
      <c r="X336" s="19">
        <v>0</v>
      </c>
      <c r="Y336" s="18">
        <f t="shared" si="568"/>
        <v>0</v>
      </c>
      <c r="Z336" s="19">
        <v>0</v>
      </c>
      <c r="AA336" s="19">
        <v>0</v>
      </c>
      <c r="AB336" s="19">
        <v>0</v>
      </c>
      <c r="AC336" s="19">
        <v>0</v>
      </c>
      <c r="AD336" s="18">
        <f t="shared" si="569"/>
        <v>0</v>
      </c>
      <c r="AE336" s="19">
        <v>0</v>
      </c>
      <c r="AF336" s="19">
        <v>0</v>
      </c>
      <c r="AG336" s="19">
        <v>0</v>
      </c>
      <c r="AH336" s="19">
        <v>0</v>
      </c>
      <c r="AI336" s="18">
        <f t="shared" si="570"/>
        <v>0</v>
      </c>
      <c r="AJ336" s="19">
        <v>0</v>
      </c>
      <c r="AK336" s="19">
        <v>0</v>
      </c>
      <c r="AL336" s="19">
        <v>0</v>
      </c>
      <c r="AM336" s="19">
        <v>0</v>
      </c>
    </row>
    <row r="337" spans="1:39" s="2" customFormat="1" ht="63" outlineLevel="2" x14ac:dyDescent="0.25">
      <c r="A337" s="8" t="s">
        <v>334</v>
      </c>
      <c r="B337" s="53" t="s">
        <v>360</v>
      </c>
      <c r="C337" s="26" t="s">
        <v>32</v>
      </c>
      <c r="D337" s="31" t="s">
        <v>8</v>
      </c>
      <c r="E337" s="20">
        <f t="shared" si="563"/>
        <v>1923.6</v>
      </c>
      <c r="F337" s="38">
        <f t="shared" si="572"/>
        <v>0</v>
      </c>
      <c r="G337" s="38">
        <f t="shared" si="572"/>
        <v>0</v>
      </c>
      <c r="H337" s="38">
        <f t="shared" si="573"/>
        <v>1923.6</v>
      </c>
      <c r="I337" s="38">
        <f t="shared" si="564"/>
        <v>0</v>
      </c>
      <c r="J337" s="18">
        <f t="shared" si="565"/>
        <v>0</v>
      </c>
      <c r="K337" s="19">
        <v>0</v>
      </c>
      <c r="L337" s="19">
        <v>0</v>
      </c>
      <c r="M337" s="19">
        <v>0</v>
      </c>
      <c r="N337" s="19">
        <v>0</v>
      </c>
      <c r="O337" s="18">
        <f t="shared" si="566"/>
        <v>916.8</v>
      </c>
      <c r="P337" s="19">
        <v>0</v>
      </c>
      <c r="Q337" s="19">
        <v>0</v>
      </c>
      <c r="R337" s="19">
        <v>916.8</v>
      </c>
      <c r="S337" s="19">
        <v>0</v>
      </c>
      <c r="T337" s="18">
        <f t="shared" si="567"/>
        <v>1006.8</v>
      </c>
      <c r="U337" s="19">
        <v>0</v>
      </c>
      <c r="V337" s="19">
        <v>0</v>
      </c>
      <c r="W337" s="19">
        <v>1006.8</v>
      </c>
      <c r="X337" s="19">
        <v>0</v>
      </c>
      <c r="Y337" s="18">
        <f t="shared" si="568"/>
        <v>0</v>
      </c>
      <c r="Z337" s="19">
        <v>0</v>
      </c>
      <c r="AA337" s="19">
        <v>0</v>
      </c>
      <c r="AB337" s="19">
        <v>0</v>
      </c>
      <c r="AC337" s="19">
        <v>0</v>
      </c>
      <c r="AD337" s="18">
        <f t="shared" si="569"/>
        <v>0</v>
      </c>
      <c r="AE337" s="19">
        <v>0</v>
      </c>
      <c r="AF337" s="19">
        <v>0</v>
      </c>
      <c r="AG337" s="19">
        <v>0</v>
      </c>
      <c r="AH337" s="19">
        <v>0</v>
      </c>
      <c r="AI337" s="18">
        <f t="shared" si="570"/>
        <v>0</v>
      </c>
      <c r="AJ337" s="19">
        <v>0</v>
      </c>
      <c r="AK337" s="19">
        <v>0</v>
      </c>
      <c r="AL337" s="19">
        <v>0</v>
      </c>
      <c r="AM337" s="19">
        <v>0</v>
      </c>
    </row>
    <row r="338" spans="1:39" s="2" customFormat="1" ht="94.5" outlineLevel="2" x14ac:dyDescent="0.25">
      <c r="A338" s="8" t="s">
        <v>466</v>
      </c>
      <c r="B338" s="53" t="s">
        <v>465</v>
      </c>
      <c r="C338" s="26" t="s">
        <v>32</v>
      </c>
      <c r="D338" s="31" t="s">
        <v>8</v>
      </c>
      <c r="E338" s="20">
        <f>SUM(F338:I338)</f>
        <v>482.59999999999997</v>
      </c>
      <c r="F338" s="38">
        <f>K338+P338+U338+Z338+AE338+AJ338</f>
        <v>0</v>
      </c>
      <c r="G338" s="38">
        <f>L338+Q338+V338+AA338+AF338+AK338</f>
        <v>0</v>
      </c>
      <c r="H338" s="38">
        <f>M338+R338+W338+AB338+AG338+AL338</f>
        <v>482.59999999999997</v>
      </c>
      <c r="I338" s="38">
        <f>N338+S338+X338+AC338+AH338+AM338</f>
        <v>0</v>
      </c>
      <c r="J338" s="18">
        <v>0</v>
      </c>
      <c r="K338" s="19">
        <v>0</v>
      </c>
      <c r="L338" s="19">
        <v>0</v>
      </c>
      <c r="M338" s="19">
        <v>0</v>
      </c>
      <c r="N338" s="19">
        <v>0</v>
      </c>
      <c r="O338" s="18">
        <f>R338</f>
        <v>482.59999999999997</v>
      </c>
      <c r="P338" s="19">
        <v>0</v>
      </c>
      <c r="Q338" s="19">
        <v>0</v>
      </c>
      <c r="R338" s="19">
        <f>758.8-276.2</f>
        <v>482.59999999999997</v>
      </c>
      <c r="S338" s="19">
        <v>0</v>
      </c>
      <c r="T338" s="18">
        <v>0</v>
      </c>
      <c r="U338" s="19">
        <v>0</v>
      </c>
      <c r="V338" s="19">
        <v>0</v>
      </c>
      <c r="W338" s="19">
        <v>0</v>
      </c>
      <c r="X338" s="19">
        <v>0</v>
      </c>
      <c r="Y338" s="18">
        <v>0</v>
      </c>
      <c r="Z338" s="19">
        <v>0</v>
      </c>
      <c r="AA338" s="19">
        <v>0</v>
      </c>
      <c r="AB338" s="19">
        <v>0</v>
      </c>
      <c r="AC338" s="19">
        <v>0</v>
      </c>
      <c r="AD338" s="18">
        <v>0</v>
      </c>
      <c r="AE338" s="19">
        <v>0</v>
      </c>
      <c r="AF338" s="19">
        <v>0</v>
      </c>
      <c r="AG338" s="19">
        <v>0</v>
      </c>
      <c r="AH338" s="19">
        <v>0</v>
      </c>
      <c r="AI338" s="18">
        <v>0</v>
      </c>
      <c r="AJ338" s="19">
        <v>0</v>
      </c>
      <c r="AK338" s="19">
        <v>0</v>
      </c>
      <c r="AL338" s="19">
        <v>0</v>
      </c>
      <c r="AM338" s="19">
        <v>0</v>
      </c>
    </row>
    <row r="339" spans="1:39" s="5" customFormat="1" ht="34.5" customHeight="1" outlineLevel="1" x14ac:dyDescent="0.25">
      <c r="A339" s="165" t="s">
        <v>197</v>
      </c>
      <c r="B339" s="212" t="s">
        <v>36</v>
      </c>
      <c r="C339" s="195"/>
      <c r="D339" s="195"/>
      <c r="E339" s="18">
        <f t="shared" ref="E339:AM339" si="574">E340+E342+E353</f>
        <v>802411.1</v>
      </c>
      <c r="F339" s="18">
        <f t="shared" si="574"/>
        <v>0</v>
      </c>
      <c r="G339" s="18">
        <f t="shared" si="574"/>
        <v>0</v>
      </c>
      <c r="H339" s="18">
        <f t="shared" si="574"/>
        <v>802411.1</v>
      </c>
      <c r="I339" s="18">
        <f t="shared" si="574"/>
        <v>0</v>
      </c>
      <c r="J339" s="18">
        <f t="shared" si="574"/>
        <v>131847.9</v>
      </c>
      <c r="K339" s="18">
        <f t="shared" si="574"/>
        <v>0</v>
      </c>
      <c r="L339" s="18">
        <f t="shared" si="574"/>
        <v>0</v>
      </c>
      <c r="M339" s="18">
        <f t="shared" si="574"/>
        <v>131847.9</v>
      </c>
      <c r="N339" s="18">
        <f t="shared" si="574"/>
        <v>0</v>
      </c>
      <c r="O339" s="18">
        <f t="shared" si="574"/>
        <v>123882</v>
      </c>
      <c r="P339" s="18">
        <f t="shared" si="574"/>
        <v>0</v>
      </c>
      <c r="Q339" s="18">
        <f t="shared" si="574"/>
        <v>0</v>
      </c>
      <c r="R339" s="18">
        <f t="shared" si="574"/>
        <v>123882</v>
      </c>
      <c r="S339" s="18">
        <f t="shared" si="574"/>
        <v>0</v>
      </c>
      <c r="T339" s="18">
        <f t="shared" si="574"/>
        <v>142777.1</v>
      </c>
      <c r="U339" s="18">
        <f t="shared" si="574"/>
        <v>0</v>
      </c>
      <c r="V339" s="18">
        <f t="shared" si="574"/>
        <v>0</v>
      </c>
      <c r="W339" s="18">
        <f t="shared" si="574"/>
        <v>142777.1</v>
      </c>
      <c r="X339" s="18">
        <f t="shared" si="574"/>
        <v>0</v>
      </c>
      <c r="Y339" s="18">
        <f t="shared" si="574"/>
        <v>132668.80000000002</v>
      </c>
      <c r="Z339" s="18">
        <f t="shared" si="574"/>
        <v>0</v>
      </c>
      <c r="AA339" s="18">
        <f t="shared" si="574"/>
        <v>0</v>
      </c>
      <c r="AB339" s="18">
        <f t="shared" si="574"/>
        <v>132668.80000000002</v>
      </c>
      <c r="AC339" s="18">
        <f t="shared" si="574"/>
        <v>0</v>
      </c>
      <c r="AD339" s="18">
        <f t="shared" si="574"/>
        <v>132958.5</v>
      </c>
      <c r="AE339" s="18">
        <f t="shared" si="574"/>
        <v>0</v>
      </c>
      <c r="AF339" s="18">
        <f t="shared" si="574"/>
        <v>0</v>
      </c>
      <c r="AG339" s="18">
        <f t="shared" si="574"/>
        <v>132958.5</v>
      </c>
      <c r="AH339" s="18">
        <f t="shared" si="574"/>
        <v>0</v>
      </c>
      <c r="AI339" s="18">
        <f t="shared" si="574"/>
        <v>138276.79999999999</v>
      </c>
      <c r="AJ339" s="18">
        <f t="shared" si="574"/>
        <v>0</v>
      </c>
      <c r="AK339" s="18">
        <f t="shared" si="574"/>
        <v>0</v>
      </c>
      <c r="AL339" s="18">
        <f t="shared" si="574"/>
        <v>138276.79999999999</v>
      </c>
      <c r="AM339" s="18">
        <f t="shared" si="574"/>
        <v>0</v>
      </c>
    </row>
    <row r="340" spans="1:39" s="5" customFormat="1" ht="50.25" customHeight="1" outlineLevel="2" x14ac:dyDescent="0.25">
      <c r="A340" s="165" t="s">
        <v>198</v>
      </c>
      <c r="B340" s="200" t="s">
        <v>67</v>
      </c>
      <c r="C340" s="196"/>
      <c r="D340" s="197"/>
      <c r="E340" s="21">
        <f>E341</f>
        <v>369700</v>
      </c>
      <c r="F340" s="21">
        <f t="shared" ref="F340:AM340" si="575">F341</f>
        <v>0</v>
      </c>
      <c r="G340" s="21">
        <f t="shared" si="575"/>
        <v>0</v>
      </c>
      <c r="H340" s="21">
        <f t="shared" si="575"/>
        <v>369700</v>
      </c>
      <c r="I340" s="21">
        <f t="shared" si="575"/>
        <v>0</v>
      </c>
      <c r="J340" s="21">
        <f t="shared" si="575"/>
        <v>51113.7</v>
      </c>
      <c r="K340" s="21">
        <f t="shared" si="575"/>
        <v>0</v>
      </c>
      <c r="L340" s="21">
        <f t="shared" si="575"/>
        <v>0</v>
      </c>
      <c r="M340" s="21">
        <f t="shared" si="575"/>
        <v>51113.7</v>
      </c>
      <c r="N340" s="21">
        <f t="shared" si="575"/>
        <v>0</v>
      </c>
      <c r="O340" s="21">
        <f t="shared" si="575"/>
        <v>58162.899999999994</v>
      </c>
      <c r="P340" s="21">
        <f t="shared" si="575"/>
        <v>0</v>
      </c>
      <c r="Q340" s="21">
        <f t="shared" si="575"/>
        <v>0</v>
      </c>
      <c r="R340" s="21">
        <f t="shared" si="575"/>
        <v>58162.899999999994</v>
      </c>
      <c r="S340" s="21">
        <f t="shared" si="575"/>
        <v>0</v>
      </c>
      <c r="T340" s="21">
        <f t="shared" si="575"/>
        <v>61771.4</v>
      </c>
      <c r="U340" s="21">
        <f t="shared" si="575"/>
        <v>0</v>
      </c>
      <c r="V340" s="21">
        <f t="shared" si="575"/>
        <v>0</v>
      </c>
      <c r="W340" s="21">
        <f t="shared" si="575"/>
        <v>61771.4</v>
      </c>
      <c r="X340" s="21">
        <f t="shared" si="575"/>
        <v>0</v>
      </c>
      <c r="Y340" s="21">
        <f t="shared" si="575"/>
        <v>62748.800000000003</v>
      </c>
      <c r="Z340" s="21">
        <f t="shared" si="575"/>
        <v>0</v>
      </c>
      <c r="AA340" s="21">
        <f t="shared" si="575"/>
        <v>0</v>
      </c>
      <c r="AB340" s="21">
        <f t="shared" si="575"/>
        <v>62748.800000000003</v>
      </c>
      <c r="AC340" s="21">
        <f t="shared" si="575"/>
        <v>0</v>
      </c>
      <c r="AD340" s="21">
        <f t="shared" si="575"/>
        <v>66619.199999999997</v>
      </c>
      <c r="AE340" s="21">
        <f t="shared" si="575"/>
        <v>0</v>
      </c>
      <c r="AF340" s="21">
        <f t="shared" si="575"/>
        <v>0</v>
      </c>
      <c r="AG340" s="21">
        <f t="shared" si="575"/>
        <v>66619.199999999997</v>
      </c>
      <c r="AH340" s="21">
        <f t="shared" si="575"/>
        <v>0</v>
      </c>
      <c r="AI340" s="21">
        <f t="shared" si="575"/>
        <v>69284</v>
      </c>
      <c r="AJ340" s="21">
        <f t="shared" si="575"/>
        <v>0</v>
      </c>
      <c r="AK340" s="21">
        <f t="shared" si="575"/>
        <v>0</v>
      </c>
      <c r="AL340" s="21">
        <f t="shared" si="575"/>
        <v>69284</v>
      </c>
      <c r="AM340" s="21">
        <f t="shared" si="575"/>
        <v>0</v>
      </c>
    </row>
    <row r="341" spans="1:39" s="5" customFormat="1" ht="78.75" outlineLevel="3" x14ac:dyDescent="0.25">
      <c r="A341" s="8" t="s">
        <v>267</v>
      </c>
      <c r="B341" s="17" t="s">
        <v>272</v>
      </c>
      <c r="C341" s="9" t="s">
        <v>32</v>
      </c>
      <c r="D341" s="9" t="s">
        <v>268</v>
      </c>
      <c r="E341" s="20">
        <f>SUM(F341:I341)</f>
        <v>369700</v>
      </c>
      <c r="F341" s="38">
        <f>K341+P341+U341</f>
        <v>0</v>
      </c>
      <c r="G341" s="38">
        <f>L341+Q341+V341+AA341+AF341+AK341</f>
        <v>0</v>
      </c>
      <c r="H341" s="38">
        <f>M341+R341+W341+AB341+AG341+AL341</f>
        <v>369700</v>
      </c>
      <c r="I341" s="38">
        <f t="shared" ref="I341:I352" si="576">N341+S341+X341+AC341+AH341+AM341</f>
        <v>0</v>
      </c>
      <c r="J341" s="18">
        <f t="shared" ref="J341:J352" si="577">SUM(K341:N341)</f>
        <v>51113.7</v>
      </c>
      <c r="K341" s="21">
        <v>0</v>
      </c>
      <c r="L341" s="21">
        <v>0</v>
      </c>
      <c r="M341" s="22">
        <v>51113.7</v>
      </c>
      <c r="N341" s="21">
        <v>0</v>
      </c>
      <c r="O341" s="18">
        <f t="shared" ref="O341:O352" si="578">SUM(P341:S341)</f>
        <v>58162.899999999994</v>
      </c>
      <c r="P341" s="21">
        <v>0</v>
      </c>
      <c r="Q341" s="21">
        <v>0</v>
      </c>
      <c r="R341" s="22">
        <f>55234.2+2928.7</f>
        <v>58162.899999999994</v>
      </c>
      <c r="S341" s="21">
        <v>0</v>
      </c>
      <c r="T341" s="18">
        <f t="shared" ref="T341:T352" si="579">SUM(U341:X341)</f>
        <v>61771.4</v>
      </c>
      <c r="U341" s="21">
        <v>0</v>
      </c>
      <c r="V341" s="21">
        <v>0</v>
      </c>
      <c r="W341" s="22">
        <v>61771.4</v>
      </c>
      <c r="X341" s="21">
        <v>0</v>
      </c>
      <c r="Y341" s="18">
        <f>SUM(Z341:AC341)</f>
        <v>62748.800000000003</v>
      </c>
      <c r="Z341" s="21">
        <v>0</v>
      </c>
      <c r="AA341" s="21">
        <v>0</v>
      </c>
      <c r="AB341" s="22">
        <f>64056.9-1308.1</f>
        <v>62748.800000000003</v>
      </c>
      <c r="AC341" s="21">
        <v>0</v>
      </c>
      <c r="AD341" s="18">
        <f>SUM(AE341:AH341)</f>
        <v>66619.199999999997</v>
      </c>
      <c r="AE341" s="21">
        <v>0</v>
      </c>
      <c r="AF341" s="21">
        <v>0</v>
      </c>
      <c r="AG341" s="22">
        <v>66619.199999999997</v>
      </c>
      <c r="AH341" s="21">
        <v>0</v>
      </c>
      <c r="AI341" s="18">
        <f>SUM(AJ341:AM341)</f>
        <v>69284</v>
      </c>
      <c r="AJ341" s="21">
        <v>0</v>
      </c>
      <c r="AK341" s="21">
        <v>0</v>
      </c>
      <c r="AL341" s="22">
        <v>69284</v>
      </c>
      <c r="AM341" s="21">
        <v>0</v>
      </c>
    </row>
    <row r="342" spans="1:39" s="5" customFormat="1" ht="66" customHeight="1" outlineLevel="2" x14ac:dyDescent="0.25">
      <c r="A342" s="165" t="s">
        <v>199</v>
      </c>
      <c r="B342" s="197" t="s">
        <v>580</v>
      </c>
      <c r="C342" s="203"/>
      <c r="D342" s="203"/>
      <c r="E342" s="21">
        <f t="shared" ref="E342:AM342" si="580">SUM(E343:E352)</f>
        <v>386283</v>
      </c>
      <c r="F342" s="21">
        <f t="shared" si="580"/>
        <v>0</v>
      </c>
      <c r="G342" s="21">
        <f t="shared" si="580"/>
        <v>0</v>
      </c>
      <c r="H342" s="21">
        <f t="shared" si="580"/>
        <v>386283</v>
      </c>
      <c r="I342" s="21">
        <f t="shared" si="580"/>
        <v>0</v>
      </c>
      <c r="J342" s="21">
        <f t="shared" si="580"/>
        <v>61144.1</v>
      </c>
      <c r="K342" s="21">
        <f t="shared" si="580"/>
        <v>0</v>
      </c>
      <c r="L342" s="21">
        <f t="shared" si="580"/>
        <v>0</v>
      </c>
      <c r="M342" s="21">
        <f t="shared" si="580"/>
        <v>61144.1</v>
      </c>
      <c r="N342" s="21">
        <f t="shared" si="580"/>
        <v>0</v>
      </c>
      <c r="O342" s="21">
        <f t="shared" si="580"/>
        <v>61013.200000000004</v>
      </c>
      <c r="P342" s="21">
        <f t="shared" si="580"/>
        <v>0</v>
      </c>
      <c r="Q342" s="21">
        <f t="shared" si="580"/>
        <v>0</v>
      </c>
      <c r="R342" s="21">
        <f t="shared" si="580"/>
        <v>61013.200000000004</v>
      </c>
      <c r="S342" s="21">
        <f t="shared" si="580"/>
        <v>0</v>
      </c>
      <c r="T342" s="21">
        <f t="shared" si="580"/>
        <v>63952.3</v>
      </c>
      <c r="U342" s="21">
        <f t="shared" si="580"/>
        <v>0</v>
      </c>
      <c r="V342" s="21">
        <f t="shared" si="580"/>
        <v>0</v>
      </c>
      <c r="W342" s="21">
        <f t="shared" si="580"/>
        <v>63952.3</v>
      </c>
      <c r="X342" s="21">
        <f t="shared" si="580"/>
        <v>0</v>
      </c>
      <c r="Y342" s="21">
        <f t="shared" si="580"/>
        <v>64841.3</v>
      </c>
      <c r="Z342" s="21">
        <f t="shared" si="580"/>
        <v>0</v>
      </c>
      <c r="AA342" s="21">
        <f t="shared" si="580"/>
        <v>0</v>
      </c>
      <c r="AB342" s="21">
        <f t="shared" si="580"/>
        <v>64841.3</v>
      </c>
      <c r="AC342" s="21">
        <f t="shared" si="580"/>
        <v>0</v>
      </c>
      <c r="AD342" s="21">
        <f t="shared" si="580"/>
        <v>66339.3</v>
      </c>
      <c r="AE342" s="21">
        <f t="shared" si="580"/>
        <v>0</v>
      </c>
      <c r="AF342" s="21">
        <f t="shared" si="580"/>
        <v>0</v>
      </c>
      <c r="AG342" s="21">
        <f t="shared" si="580"/>
        <v>66339.3</v>
      </c>
      <c r="AH342" s="21">
        <f t="shared" si="580"/>
        <v>0</v>
      </c>
      <c r="AI342" s="21">
        <f t="shared" si="580"/>
        <v>68992.800000000003</v>
      </c>
      <c r="AJ342" s="21">
        <f t="shared" si="580"/>
        <v>0</v>
      </c>
      <c r="AK342" s="21">
        <f t="shared" si="580"/>
        <v>0</v>
      </c>
      <c r="AL342" s="21">
        <f t="shared" si="580"/>
        <v>68992.800000000003</v>
      </c>
      <c r="AM342" s="21">
        <f t="shared" si="580"/>
        <v>0</v>
      </c>
    </row>
    <row r="343" spans="1:39" s="2" customFormat="1" ht="31.5" outlineLevel="3" x14ac:dyDescent="0.25">
      <c r="A343" s="8" t="s">
        <v>200</v>
      </c>
      <c r="B343" s="33" t="s">
        <v>59</v>
      </c>
      <c r="C343" s="26" t="s">
        <v>32</v>
      </c>
      <c r="D343" s="26" t="s">
        <v>118</v>
      </c>
      <c r="E343" s="20">
        <f t="shared" ref="E343:E352" si="581">SUM(F343:I343)</f>
        <v>41451.199999999997</v>
      </c>
      <c r="F343" s="38">
        <f t="shared" ref="F343:F352" si="582">K343+P343+U343</f>
        <v>0</v>
      </c>
      <c r="G343" s="38">
        <f>L343+Q343+V343+AA343+AF343+AK343</f>
        <v>0</v>
      </c>
      <c r="H343" s="38">
        <f>M343+R343+W343+AB343+AG343+AL343</f>
        <v>41451.199999999997</v>
      </c>
      <c r="I343" s="38">
        <f t="shared" si="576"/>
        <v>0</v>
      </c>
      <c r="J343" s="18">
        <f t="shared" si="577"/>
        <v>6137.9</v>
      </c>
      <c r="K343" s="19">
        <v>0</v>
      </c>
      <c r="L343" s="19">
        <v>0</v>
      </c>
      <c r="M343" s="19">
        <v>6137.9</v>
      </c>
      <c r="N343" s="19">
        <v>0</v>
      </c>
      <c r="O343" s="18">
        <f t="shared" si="578"/>
        <v>6694.2999999999993</v>
      </c>
      <c r="P343" s="19">
        <v>0</v>
      </c>
      <c r="Q343" s="19">
        <v>0</v>
      </c>
      <c r="R343" s="19">
        <f>6383.4+310.9</f>
        <v>6694.2999999999993</v>
      </c>
      <c r="S343" s="19">
        <v>0</v>
      </c>
      <c r="T343" s="18">
        <f t="shared" si="579"/>
        <v>6651.5</v>
      </c>
      <c r="U343" s="19">
        <v>0</v>
      </c>
      <c r="V343" s="19">
        <v>0</v>
      </c>
      <c r="W343" s="106">
        <v>6651.5</v>
      </c>
      <c r="X343" s="19">
        <v>0</v>
      </c>
      <c r="Y343" s="18">
        <f t="shared" ref="Y343:Y352" si="583">SUM(Z343:AC343)</f>
        <v>7333.6</v>
      </c>
      <c r="Z343" s="19">
        <v>0</v>
      </c>
      <c r="AA343" s="19">
        <v>0</v>
      </c>
      <c r="AB343" s="107">
        <f>6897.6+436</f>
        <v>7333.6</v>
      </c>
      <c r="AC343" s="19">
        <v>0</v>
      </c>
      <c r="AD343" s="18">
        <f t="shared" ref="AD343:AD352" si="584">SUM(AE343:AH343)</f>
        <v>7173.5</v>
      </c>
      <c r="AE343" s="19">
        <v>0</v>
      </c>
      <c r="AF343" s="19">
        <v>0</v>
      </c>
      <c r="AG343" s="108">
        <v>7173.5</v>
      </c>
      <c r="AH343" s="19">
        <v>0</v>
      </c>
      <c r="AI343" s="18">
        <f t="shared" ref="AI343:AI352" si="585">SUM(AJ343:AM343)</f>
        <v>7460.4</v>
      </c>
      <c r="AJ343" s="19">
        <v>0</v>
      </c>
      <c r="AK343" s="19">
        <v>0</v>
      </c>
      <c r="AL343" s="108">
        <v>7460.4</v>
      </c>
      <c r="AM343" s="19">
        <v>0</v>
      </c>
    </row>
    <row r="344" spans="1:39" s="2" customFormat="1" ht="31.5" outlineLevel="3" x14ac:dyDescent="0.25">
      <c r="A344" s="8" t="s">
        <v>201</v>
      </c>
      <c r="B344" s="25" t="s">
        <v>22</v>
      </c>
      <c r="C344" s="26" t="s">
        <v>32</v>
      </c>
      <c r="D344" s="26" t="s">
        <v>118</v>
      </c>
      <c r="E344" s="20">
        <f t="shared" si="581"/>
        <v>47513.599999999999</v>
      </c>
      <c r="F344" s="38">
        <f t="shared" si="582"/>
        <v>0</v>
      </c>
      <c r="G344" s="38">
        <f t="shared" ref="G344:G352" si="586">L344+Q344+V344+AA344+AF344+AK344</f>
        <v>0</v>
      </c>
      <c r="H344" s="38">
        <f>M344+R344+W344+AB344+AG344+AL344</f>
        <v>47513.599999999999</v>
      </c>
      <c r="I344" s="38">
        <f t="shared" si="576"/>
        <v>0</v>
      </c>
      <c r="J344" s="18">
        <f t="shared" si="577"/>
        <v>7164.6</v>
      </c>
      <c r="K344" s="19">
        <v>0</v>
      </c>
      <c r="L344" s="19">
        <v>0</v>
      </c>
      <c r="M344" s="19">
        <v>7164.6</v>
      </c>
      <c r="N344" s="19">
        <v>0</v>
      </c>
      <c r="O344" s="18">
        <f t="shared" si="578"/>
        <v>7451.2</v>
      </c>
      <c r="P344" s="19">
        <v>0</v>
      </c>
      <c r="Q344" s="19">
        <v>0</v>
      </c>
      <c r="R344" s="19">
        <v>7451.2</v>
      </c>
      <c r="S344" s="19">
        <v>0</v>
      </c>
      <c r="T344" s="18">
        <f t="shared" si="579"/>
        <v>7764.2</v>
      </c>
      <c r="U344" s="19">
        <v>0</v>
      </c>
      <c r="V344" s="19">
        <v>0</v>
      </c>
      <c r="W344" s="108">
        <v>7764.2</v>
      </c>
      <c r="X344" s="19">
        <v>0</v>
      </c>
      <c r="Y344" s="18">
        <f t="shared" si="583"/>
        <v>8051.5</v>
      </c>
      <c r="Z344" s="19">
        <v>0</v>
      </c>
      <c r="AA344" s="19">
        <v>0</v>
      </c>
      <c r="AB344" s="108">
        <v>8051.5</v>
      </c>
      <c r="AC344" s="19">
        <v>0</v>
      </c>
      <c r="AD344" s="18">
        <f t="shared" si="584"/>
        <v>8373.6</v>
      </c>
      <c r="AE344" s="19">
        <v>0</v>
      </c>
      <c r="AF344" s="19">
        <v>0</v>
      </c>
      <c r="AG344" s="108">
        <v>8373.6</v>
      </c>
      <c r="AH344" s="19">
        <v>0</v>
      </c>
      <c r="AI344" s="18">
        <f t="shared" si="585"/>
        <v>8708.5</v>
      </c>
      <c r="AJ344" s="19">
        <v>0</v>
      </c>
      <c r="AK344" s="19">
        <v>0</v>
      </c>
      <c r="AL344" s="108">
        <v>8708.5</v>
      </c>
      <c r="AM344" s="19">
        <v>0</v>
      </c>
    </row>
    <row r="345" spans="1:39" s="2" customFormat="1" ht="31.5" outlineLevel="3" x14ac:dyDescent="0.25">
      <c r="A345" s="8" t="s">
        <v>202</v>
      </c>
      <c r="B345" s="33" t="s">
        <v>49</v>
      </c>
      <c r="C345" s="26" t="s">
        <v>32</v>
      </c>
      <c r="D345" s="26" t="s">
        <v>118</v>
      </c>
      <c r="E345" s="20">
        <f t="shared" si="581"/>
        <v>31306.600000000002</v>
      </c>
      <c r="F345" s="38">
        <f t="shared" si="582"/>
        <v>0</v>
      </c>
      <c r="G345" s="38">
        <f t="shared" si="586"/>
        <v>0</v>
      </c>
      <c r="H345" s="38">
        <f t="shared" ref="H345:H352" si="587">M345+R345+W345+AB345+AG345+AL345</f>
        <v>31306.600000000002</v>
      </c>
      <c r="I345" s="38">
        <f t="shared" si="576"/>
        <v>0</v>
      </c>
      <c r="J345" s="18">
        <f t="shared" si="577"/>
        <v>4720.8</v>
      </c>
      <c r="K345" s="19">
        <v>0</v>
      </c>
      <c r="L345" s="19">
        <v>0</v>
      </c>
      <c r="M345" s="19">
        <v>4720.8</v>
      </c>
      <c r="N345" s="19">
        <v>0</v>
      </c>
      <c r="O345" s="18">
        <f t="shared" si="578"/>
        <v>4909.6000000000004</v>
      </c>
      <c r="P345" s="19">
        <v>0</v>
      </c>
      <c r="Q345" s="19">
        <v>0</v>
      </c>
      <c r="R345" s="19">
        <v>4909.6000000000004</v>
      </c>
      <c r="S345" s="19">
        <v>0</v>
      </c>
      <c r="T345" s="18">
        <f t="shared" si="579"/>
        <v>5115.8</v>
      </c>
      <c r="U345" s="19">
        <v>0</v>
      </c>
      <c r="V345" s="19">
        <v>0</v>
      </c>
      <c r="W345" s="108">
        <v>5115.8</v>
      </c>
      <c r="X345" s="19">
        <v>0</v>
      </c>
      <c r="Y345" s="18">
        <f t="shared" si="583"/>
        <v>5305.1</v>
      </c>
      <c r="Z345" s="19">
        <v>0</v>
      </c>
      <c r="AA345" s="19">
        <v>0</v>
      </c>
      <c r="AB345" s="108">
        <v>5305.1</v>
      </c>
      <c r="AC345" s="19">
        <v>0</v>
      </c>
      <c r="AD345" s="18">
        <f t="shared" si="584"/>
        <v>5517.3</v>
      </c>
      <c r="AE345" s="19">
        <v>0</v>
      </c>
      <c r="AF345" s="19">
        <v>0</v>
      </c>
      <c r="AG345" s="108">
        <v>5517.3</v>
      </c>
      <c r="AH345" s="19">
        <v>0</v>
      </c>
      <c r="AI345" s="18">
        <f t="shared" si="585"/>
        <v>5738</v>
      </c>
      <c r="AJ345" s="19">
        <v>0</v>
      </c>
      <c r="AK345" s="19">
        <v>0</v>
      </c>
      <c r="AL345" s="108">
        <v>5738</v>
      </c>
      <c r="AM345" s="19">
        <v>0</v>
      </c>
    </row>
    <row r="346" spans="1:39" s="2" customFormat="1" ht="31.5" outlineLevel="3" x14ac:dyDescent="0.25">
      <c r="A346" s="8" t="s">
        <v>203</v>
      </c>
      <c r="B346" s="33" t="s">
        <v>51</v>
      </c>
      <c r="C346" s="26" t="s">
        <v>32</v>
      </c>
      <c r="D346" s="26" t="s">
        <v>118</v>
      </c>
      <c r="E346" s="20">
        <f t="shared" si="581"/>
        <v>5055.8999999999996</v>
      </c>
      <c r="F346" s="38">
        <f t="shared" si="582"/>
        <v>0</v>
      </c>
      <c r="G346" s="38">
        <f t="shared" si="586"/>
        <v>0</v>
      </c>
      <c r="H346" s="38">
        <f t="shared" si="587"/>
        <v>5055.8999999999996</v>
      </c>
      <c r="I346" s="38">
        <f t="shared" si="576"/>
        <v>0</v>
      </c>
      <c r="J346" s="18">
        <f t="shared" si="577"/>
        <v>5055.8999999999996</v>
      </c>
      <c r="K346" s="19">
        <v>0</v>
      </c>
      <c r="L346" s="19">
        <v>0</v>
      </c>
      <c r="M346" s="19">
        <v>5055.8999999999996</v>
      </c>
      <c r="N346" s="19">
        <v>0</v>
      </c>
      <c r="O346" s="18">
        <f t="shared" si="578"/>
        <v>0</v>
      </c>
      <c r="P346" s="19">
        <v>0</v>
      </c>
      <c r="Q346" s="19">
        <v>0</v>
      </c>
      <c r="R346" s="19">
        <v>0</v>
      </c>
      <c r="S346" s="19">
        <v>0</v>
      </c>
      <c r="T346" s="18">
        <f t="shared" si="579"/>
        <v>0</v>
      </c>
      <c r="U346" s="19">
        <v>0</v>
      </c>
      <c r="V346" s="19">
        <v>0</v>
      </c>
      <c r="W346" s="19">
        <v>0</v>
      </c>
      <c r="X346" s="19">
        <v>0</v>
      </c>
      <c r="Y346" s="18">
        <f t="shared" si="583"/>
        <v>0</v>
      </c>
      <c r="Z346" s="19">
        <v>0</v>
      </c>
      <c r="AA346" s="19">
        <v>0</v>
      </c>
      <c r="AB346" s="19">
        <v>0</v>
      </c>
      <c r="AC346" s="19">
        <v>0</v>
      </c>
      <c r="AD346" s="18">
        <f t="shared" si="584"/>
        <v>0</v>
      </c>
      <c r="AE346" s="19">
        <v>0</v>
      </c>
      <c r="AF346" s="19">
        <v>0</v>
      </c>
      <c r="AG346" s="19">
        <v>0</v>
      </c>
      <c r="AH346" s="19">
        <v>0</v>
      </c>
      <c r="AI346" s="18">
        <f t="shared" si="585"/>
        <v>0</v>
      </c>
      <c r="AJ346" s="19">
        <v>0</v>
      </c>
      <c r="AK346" s="19">
        <v>0</v>
      </c>
      <c r="AL346" s="19">
        <v>0</v>
      </c>
      <c r="AM346" s="19">
        <v>0</v>
      </c>
    </row>
    <row r="347" spans="1:39" s="2" customFormat="1" ht="31.5" outlineLevel="3" x14ac:dyDescent="0.25">
      <c r="A347" s="8" t="s">
        <v>204</v>
      </c>
      <c r="B347" s="33" t="s">
        <v>52</v>
      </c>
      <c r="C347" s="26" t="s">
        <v>32</v>
      </c>
      <c r="D347" s="26" t="s">
        <v>118</v>
      </c>
      <c r="E347" s="20">
        <f t="shared" si="581"/>
        <v>42632.399999999994</v>
      </c>
      <c r="F347" s="38">
        <f t="shared" si="582"/>
        <v>0</v>
      </c>
      <c r="G347" s="38">
        <f t="shared" si="586"/>
        <v>0</v>
      </c>
      <c r="H347" s="38">
        <f t="shared" si="587"/>
        <v>42632.399999999994</v>
      </c>
      <c r="I347" s="38">
        <f t="shared" si="576"/>
        <v>0</v>
      </c>
      <c r="J347" s="18">
        <f t="shared" si="577"/>
        <v>6096.5</v>
      </c>
      <c r="K347" s="19">
        <v>0</v>
      </c>
      <c r="L347" s="19">
        <v>0</v>
      </c>
      <c r="M347" s="19">
        <v>6096.5</v>
      </c>
      <c r="N347" s="19">
        <v>0</v>
      </c>
      <c r="O347" s="18">
        <f t="shared" si="578"/>
        <v>6747.0999999999995</v>
      </c>
      <c r="P347" s="19">
        <v>0</v>
      </c>
      <c r="Q347" s="19">
        <v>0</v>
      </c>
      <c r="R347" s="19">
        <f>6340.4+406.7</f>
        <v>6747.0999999999995</v>
      </c>
      <c r="S347" s="19">
        <v>0</v>
      </c>
      <c r="T347" s="18">
        <f t="shared" si="579"/>
        <v>7030.5</v>
      </c>
      <c r="U347" s="19">
        <v>0</v>
      </c>
      <c r="V347" s="19">
        <v>0</v>
      </c>
      <c r="W347" s="19">
        <v>7030.5</v>
      </c>
      <c r="X347" s="19">
        <v>0</v>
      </c>
      <c r="Y347" s="18">
        <f t="shared" si="583"/>
        <v>7290.6</v>
      </c>
      <c r="Z347" s="19">
        <v>0</v>
      </c>
      <c r="AA347" s="19">
        <v>0</v>
      </c>
      <c r="AB347" s="19">
        <v>7290.6</v>
      </c>
      <c r="AC347" s="19">
        <v>0</v>
      </c>
      <c r="AD347" s="18">
        <f t="shared" si="584"/>
        <v>7582.2</v>
      </c>
      <c r="AE347" s="19">
        <v>0</v>
      </c>
      <c r="AF347" s="19">
        <v>0</v>
      </c>
      <c r="AG347" s="108">
        <v>7582.2</v>
      </c>
      <c r="AH347" s="19">
        <v>0</v>
      </c>
      <c r="AI347" s="18">
        <f t="shared" si="585"/>
        <v>7885.5</v>
      </c>
      <c r="AJ347" s="19">
        <v>0</v>
      </c>
      <c r="AK347" s="19">
        <v>0</v>
      </c>
      <c r="AL347" s="108">
        <v>7885.5</v>
      </c>
      <c r="AM347" s="19">
        <v>0</v>
      </c>
    </row>
    <row r="348" spans="1:39" s="2" customFormat="1" ht="31.5" outlineLevel="3" x14ac:dyDescent="0.25">
      <c r="A348" s="8" t="s">
        <v>205</v>
      </c>
      <c r="B348" s="33" t="s">
        <v>62</v>
      </c>
      <c r="C348" s="26" t="s">
        <v>32</v>
      </c>
      <c r="D348" s="26" t="s">
        <v>118</v>
      </c>
      <c r="E348" s="20">
        <f t="shared" si="581"/>
        <v>37854</v>
      </c>
      <c r="F348" s="38">
        <f t="shared" si="582"/>
        <v>0</v>
      </c>
      <c r="G348" s="38">
        <f t="shared" si="586"/>
        <v>0</v>
      </c>
      <c r="H348" s="38">
        <f t="shared" si="587"/>
        <v>37854</v>
      </c>
      <c r="I348" s="38">
        <f t="shared" si="576"/>
        <v>0</v>
      </c>
      <c r="J348" s="18">
        <f t="shared" si="577"/>
        <v>5708.1</v>
      </c>
      <c r="K348" s="19">
        <v>0</v>
      </c>
      <c r="L348" s="19">
        <v>0</v>
      </c>
      <c r="M348" s="19">
        <v>5708.1</v>
      </c>
      <c r="N348" s="19">
        <v>0</v>
      </c>
      <c r="O348" s="18">
        <f t="shared" si="578"/>
        <v>5936.4</v>
      </c>
      <c r="P348" s="19">
        <v>0</v>
      </c>
      <c r="Q348" s="19">
        <v>0</v>
      </c>
      <c r="R348" s="19">
        <v>5936.4</v>
      </c>
      <c r="S348" s="19">
        <v>0</v>
      </c>
      <c r="T348" s="18">
        <f t="shared" si="579"/>
        <v>6185.7</v>
      </c>
      <c r="U348" s="19">
        <v>0</v>
      </c>
      <c r="V348" s="19">
        <v>0</v>
      </c>
      <c r="W348" s="108">
        <v>6185.7</v>
      </c>
      <c r="X348" s="19">
        <v>0</v>
      </c>
      <c r="Y348" s="18">
        <f t="shared" si="583"/>
        <v>6414.6</v>
      </c>
      <c r="Z348" s="19">
        <v>0</v>
      </c>
      <c r="AA348" s="19">
        <v>0</v>
      </c>
      <c r="AB348" s="108">
        <v>6414.6</v>
      </c>
      <c r="AC348" s="19">
        <v>0</v>
      </c>
      <c r="AD348" s="18">
        <f t="shared" si="584"/>
        <v>6671.2</v>
      </c>
      <c r="AE348" s="19">
        <v>0</v>
      </c>
      <c r="AF348" s="19">
        <v>0</v>
      </c>
      <c r="AG348" s="108">
        <v>6671.2</v>
      </c>
      <c r="AH348" s="19">
        <v>0</v>
      </c>
      <c r="AI348" s="18">
        <f t="shared" si="585"/>
        <v>6938</v>
      </c>
      <c r="AJ348" s="19">
        <v>0</v>
      </c>
      <c r="AK348" s="19">
        <v>0</v>
      </c>
      <c r="AL348" s="108">
        <v>6938</v>
      </c>
      <c r="AM348" s="19">
        <v>0</v>
      </c>
    </row>
    <row r="349" spans="1:39" s="2" customFormat="1" ht="31.5" outlineLevel="3" x14ac:dyDescent="0.25">
      <c r="A349" s="8" t="s">
        <v>206</v>
      </c>
      <c r="B349" s="33" t="s">
        <v>60</v>
      </c>
      <c r="C349" s="26" t="s">
        <v>32</v>
      </c>
      <c r="D349" s="26" t="s">
        <v>118</v>
      </c>
      <c r="E349" s="20">
        <f t="shared" si="581"/>
        <v>67203.199999999997</v>
      </c>
      <c r="F349" s="38">
        <f t="shared" si="582"/>
        <v>0</v>
      </c>
      <c r="G349" s="38">
        <f t="shared" si="586"/>
        <v>0</v>
      </c>
      <c r="H349" s="38">
        <f t="shared" si="587"/>
        <v>67203.199999999997</v>
      </c>
      <c r="I349" s="38">
        <f t="shared" si="576"/>
        <v>0</v>
      </c>
      <c r="J349" s="18">
        <f t="shared" si="577"/>
        <v>10112.1</v>
      </c>
      <c r="K349" s="19">
        <v>0</v>
      </c>
      <c r="L349" s="19">
        <v>0</v>
      </c>
      <c r="M349" s="19">
        <f>10112.1</f>
        <v>10112.1</v>
      </c>
      <c r="N349" s="19">
        <v>0</v>
      </c>
      <c r="O349" s="18">
        <f t="shared" si="578"/>
        <v>10516.6</v>
      </c>
      <c r="P349" s="19">
        <v>0</v>
      </c>
      <c r="Q349" s="19">
        <v>0</v>
      </c>
      <c r="R349" s="19">
        <v>10516.6</v>
      </c>
      <c r="S349" s="19">
        <v>0</v>
      </c>
      <c r="T349" s="18">
        <f t="shared" si="579"/>
        <v>11658.8</v>
      </c>
      <c r="U349" s="19">
        <v>0</v>
      </c>
      <c r="V349" s="19">
        <v>0</v>
      </c>
      <c r="W349" s="108">
        <f>10958.3+700.5</f>
        <v>11658.8</v>
      </c>
      <c r="X349" s="19">
        <v>0</v>
      </c>
      <c r="Y349" s="18">
        <f t="shared" si="583"/>
        <v>11824.900000000001</v>
      </c>
      <c r="Z349" s="19">
        <v>0</v>
      </c>
      <c r="AA349" s="19">
        <v>0</v>
      </c>
      <c r="AB349" s="154">
        <f>10883.7+941.2</f>
        <v>11824.900000000001</v>
      </c>
      <c r="AC349" s="19">
        <v>0</v>
      </c>
      <c r="AD349" s="18">
        <f t="shared" si="584"/>
        <v>11319</v>
      </c>
      <c r="AE349" s="19">
        <v>0</v>
      </c>
      <c r="AF349" s="19">
        <v>0</v>
      </c>
      <c r="AG349" s="108">
        <v>11319</v>
      </c>
      <c r="AH349" s="19">
        <v>0</v>
      </c>
      <c r="AI349" s="18">
        <f t="shared" si="585"/>
        <v>11771.8</v>
      </c>
      <c r="AJ349" s="19">
        <v>0</v>
      </c>
      <c r="AK349" s="19">
        <v>0</v>
      </c>
      <c r="AL349" s="108">
        <v>11771.8</v>
      </c>
      <c r="AM349" s="19">
        <v>0</v>
      </c>
    </row>
    <row r="350" spans="1:39" s="2" customFormat="1" ht="31.5" outlineLevel="3" x14ac:dyDescent="0.25">
      <c r="A350" s="8" t="s">
        <v>207</v>
      </c>
      <c r="B350" s="33" t="s">
        <v>61</v>
      </c>
      <c r="C350" s="26" t="s">
        <v>32</v>
      </c>
      <c r="D350" s="26" t="s">
        <v>118</v>
      </c>
      <c r="E350" s="20">
        <f t="shared" si="581"/>
        <v>33500.400000000001</v>
      </c>
      <c r="F350" s="38">
        <f t="shared" si="582"/>
        <v>0</v>
      </c>
      <c r="G350" s="38">
        <f t="shared" si="586"/>
        <v>0</v>
      </c>
      <c r="H350" s="38">
        <f t="shared" si="587"/>
        <v>33500.400000000001</v>
      </c>
      <c r="I350" s="38">
        <f t="shared" si="576"/>
        <v>0</v>
      </c>
      <c r="J350" s="18">
        <f t="shared" si="577"/>
        <v>4019.2999999999997</v>
      </c>
      <c r="K350" s="19">
        <v>0</v>
      </c>
      <c r="L350" s="19">
        <v>0</v>
      </c>
      <c r="M350" s="19">
        <f>3545.6+473.7</f>
        <v>4019.2999999999997</v>
      </c>
      <c r="N350" s="19">
        <v>0</v>
      </c>
      <c r="O350" s="18">
        <f t="shared" si="578"/>
        <v>5707.8</v>
      </c>
      <c r="P350" s="19">
        <v>0</v>
      </c>
      <c r="Q350" s="19">
        <v>0</v>
      </c>
      <c r="R350" s="19">
        <f>3687.4+2020.4</f>
        <v>5707.8</v>
      </c>
      <c r="S350" s="19">
        <v>0</v>
      </c>
      <c r="T350" s="18">
        <f t="shared" si="579"/>
        <v>5947.5</v>
      </c>
      <c r="U350" s="19">
        <v>0</v>
      </c>
      <c r="V350" s="19">
        <v>0</v>
      </c>
      <c r="W350" s="106">
        <v>5947.5</v>
      </c>
      <c r="X350" s="19">
        <v>0</v>
      </c>
      <c r="Y350" s="18">
        <f t="shared" si="583"/>
        <v>5329.2</v>
      </c>
      <c r="Z350" s="19">
        <v>0</v>
      </c>
      <c r="AA350" s="19">
        <v>0</v>
      </c>
      <c r="AB350" s="106">
        <f>5890.2-561</f>
        <v>5329.2</v>
      </c>
      <c r="AC350" s="19">
        <v>0</v>
      </c>
      <c r="AD350" s="18">
        <f t="shared" si="584"/>
        <v>6125.8</v>
      </c>
      <c r="AE350" s="19">
        <v>0</v>
      </c>
      <c r="AF350" s="19">
        <v>0</v>
      </c>
      <c r="AG350" s="108">
        <v>6125.8</v>
      </c>
      <c r="AH350" s="19">
        <v>0</v>
      </c>
      <c r="AI350" s="18">
        <f t="shared" si="585"/>
        <v>6370.8</v>
      </c>
      <c r="AJ350" s="19">
        <v>0</v>
      </c>
      <c r="AK350" s="19">
        <v>0</v>
      </c>
      <c r="AL350" s="108">
        <v>6370.8</v>
      </c>
      <c r="AM350" s="19">
        <v>0</v>
      </c>
    </row>
    <row r="351" spans="1:39" s="2" customFormat="1" ht="31.5" outlineLevel="3" x14ac:dyDescent="0.25">
      <c r="A351" s="8" t="s">
        <v>208</v>
      </c>
      <c r="B351" s="33" t="s">
        <v>54</v>
      </c>
      <c r="C351" s="26" t="s">
        <v>32</v>
      </c>
      <c r="D351" s="26" t="s">
        <v>118</v>
      </c>
      <c r="E351" s="20">
        <f t="shared" si="581"/>
        <v>57966.900000000009</v>
      </c>
      <c r="F351" s="38">
        <f t="shared" si="582"/>
        <v>0</v>
      </c>
      <c r="G351" s="38">
        <f t="shared" si="586"/>
        <v>0</v>
      </c>
      <c r="H351" s="38">
        <f t="shared" si="587"/>
        <v>57966.900000000009</v>
      </c>
      <c r="I351" s="38">
        <f t="shared" si="576"/>
        <v>0</v>
      </c>
      <c r="J351" s="18">
        <f t="shared" si="577"/>
        <v>8384.7999999999993</v>
      </c>
      <c r="K351" s="19">
        <v>0</v>
      </c>
      <c r="L351" s="19">
        <v>0</v>
      </c>
      <c r="M351" s="19">
        <v>8384.7999999999993</v>
      </c>
      <c r="N351" s="19">
        <v>0</v>
      </c>
      <c r="O351" s="18">
        <f t="shared" si="578"/>
        <v>9156.3000000000011</v>
      </c>
      <c r="P351" s="19">
        <v>0</v>
      </c>
      <c r="Q351" s="19">
        <v>0</v>
      </c>
      <c r="R351" s="19">
        <f>8720.2+436.1</f>
        <v>9156.3000000000011</v>
      </c>
      <c r="S351" s="19">
        <v>0</v>
      </c>
      <c r="T351" s="18">
        <f t="shared" si="579"/>
        <v>9540.9</v>
      </c>
      <c r="U351" s="19">
        <v>0</v>
      </c>
      <c r="V351" s="19">
        <v>0</v>
      </c>
      <c r="W351" s="19">
        <v>9540.9</v>
      </c>
      <c r="X351" s="19">
        <v>0</v>
      </c>
      <c r="Y351" s="18">
        <f t="shared" si="583"/>
        <v>9893.9</v>
      </c>
      <c r="Z351" s="19">
        <v>0</v>
      </c>
      <c r="AA351" s="19">
        <v>0</v>
      </c>
      <c r="AB351" s="19">
        <v>9893.9</v>
      </c>
      <c r="AC351" s="19">
        <v>0</v>
      </c>
      <c r="AD351" s="18">
        <f t="shared" si="584"/>
        <v>10289.700000000001</v>
      </c>
      <c r="AE351" s="19">
        <v>0</v>
      </c>
      <c r="AF351" s="19">
        <v>0</v>
      </c>
      <c r="AG351" s="108">
        <v>10289.700000000001</v>
      </c>
      <c r="AH351" s="19">
        <v>0</v>
      </c>
      <c r="AI351" s="18">
        <f t="shared" si="585"/>
        <v>10701.3</v>
      </c>
      <c r="AJ351" s="19">
        <v>0</v>
      </c>
      <c r="AK351" s="19">
        <v>0</v>
      </c>
      <c r="AL351" s="108">
        <v>10701.3</v>
      </c>
      <c r="AM351" s="19">
        <v>0</v>
      </c>
    </row>
    <row r="352" spans="1:39" s="2" customFormat="1" ht="31.5" outlineLevel="3" x14ac:dyDescent="0.25">
      <c r="A352" s="8" t="s">
        <v>209</v>
      </c>
      <c r="B352" s="33" t="s">
        <v>56</v>
      </c>
      <c r="C352" s="26" t="s">
        <v>32</v>
      </c>
      <c r="D352" s="26" t="s">
        <v>118</v>
      </c>
      <c r="E352" s="20">
        <f t="shared" si="581"/>
        <v>21798.799999999999</v>
      </c>
      <c r="F352" s="38">
        <f t="shared" si="582"/>
        <v>0</v>
      </c>
      <c r="G352" s="38">
        <f t="shared" si="586"/>
        <v>0</v>
      </c>
      <c r="H352" s="38">
        <f t="shared" si="587"/>
        <v>21798.799999999999</v>
      </c>
      <c r="I352" s="38">
        <f t="shared" si="576"/>
        <v>0</v>
      </c>
      <c r="J352" s="18">
        <f t="shared" si="577"/>
        <v>3744.1</v>
      </c>
      <c r="K352" s="19">
        <v>0</v>
      </c>
      <c r="L352" s="19">
        <v>0</v>
      </c>
      <c r="M352" s="19">
        <v>3744.1</v>
      </c>
      <c r="N352" s="19">
        <v>0</v>
      </c>
      <c r="O352" s="18">
        <f t="shared" si="578"/>
        <v>3893.9</v>
      </c>
      <c r="P352" s="19">
        <v>0</v>
      </c>
      <c r="Q352" s="19">
        <v>0</v>
      </c>
      <c r="R352" s="19">
        <v>3893.9</v>
      </c>
      <c r="S352" s="19">
        <v>0</v>
      </c>
      <c r="T352" s="18">
        <f t="shared" si="579"/>
        <v>4057.4</v>
      </c>
      <c r="U352" s="19">
        <v>0</v>
      </c>
      <c r="V352" s="19">
        <v>0</v>
      </c>
      <c r="W352" s="106">
        <v>4057.4</v>
      </c>
      <c r="X352" s="19">
        <v>0</v>
      </c>
      <c r="Y352" s="18">
        <f t="shared" si="583"/>
        <v>3397.9</v>
      </c>
      <c r="Z352" s="19">
        <v>0</v>
      </c>
      <c r="AA352" s="19">
        <v>0</v>
      </c>
      <c r="AB352" s="106">
        <f>3160.6+237.3</f>
        <v>3397.9</v>
      </c>
      <c r="AC352" s="19">
        <v>0</v>
      </c>
      <c r="AD352" s="18">
        <f t="shared" si="584"/>
        <v>3287</v>
      </c>
      <c r="AE352" s="19">
        <v>0</v>
      </c>
      <c r="AF352" s="19">
        <v>0</v>
      </c>
      <c r="AG352" s="107">
        <v>3287</v>
      </c>
      <c r="AH352" s="19">
        <v>0</v>
      </c>
      <c r="AI352" s="18">
        <f t="shared" si="585"/>
        <v>3418.5</v>
      </c>
      <c r="AJ352" s="19">
        <v>0</v>
      </c>
      <c r="AK352" s="19">
        <v>0</v>
      </c>
      <c r="AL352" s="108">
        <v>3418.5</v>
      </c>
      <c r="AM352" s="19">
        <v>0</v>
      </c>
    </row>
    <row r="353" spans="1:39" s="5" customFormat="1" ht="42" customHeight="1" outlineLevel="2" x14ac:dyDescent="0.25">
      <c r="A353" s="165" t="s">
        <v>210</v>
      </c>
      <c r="B353" s="197" t="s">
        <v>526</v>
      </c>
      <c r="C353" s="203"/>
      <c r="D353" s="203"/>
      <c r="E353" s="21">
        <f>SUM(E354:E362)</f>
        <v>46428.1</v>
      </c>
      <c r="F353" s="21">
        <f t="shared" ref="F353:AM353" si="588">SUM(F354:F361)</f>
        <v>0</v>
      </c>
      <c r="G353" s="21">
        <f t="shared" si="588"/>
        <v>0</v>
      </c>
      <c r="H353" s="21">
        <f>SUM(H354:H362)</f>
        <v>46428.1</v>
      </c>
      <c r="I353" s="21">
        <f t="shared" si="588"/>
        <v>0</v>
      </c>
      <c r="J353" s="21">
        <f t="shared" si="588"/>
        <v>19590.099999999999</v>
      </c>
      <c r="K353" s="21">
        <f t="shared" si="588"/>
        <v>0</v>
      </c>
      <c r="L353" s="21">
        <f t="shared" si="588"/>
        <v>0</v>
      </c>
      <c r="M353" s="21">
        <f t="shared" si="588"/>
        <v>19590.099999999999</v>
      </c>
      <c r="N353" s="21">
        <f t="shared" si="588"/>
        <v>0</v>
      </c>
      <c r="O353" s="21">
        <f>SUM(O354:O362)</f>
        <v>4705.8999999999996</v>
      </c>
      <c r="P353" s="21">
        <f t="shared" si="588"/>
        <v>0</v>
      </c>
      <c r="Q353" s="21">
        <f t="shared" si="588"/>
        <v>0</v>
      </c>
      <c r="R353" s="21">
        <f>SUM(R354:R362)</f>
        <v>4705.8999999999996</v>
      </c>
      <c r="S353" s="21">
        <f t="shared" si="588"/>
        <v>0</v>
      </c>
      <c r="T353" s="21">
        <f t="shared" si="588"/>
        <v>17053.400000000001</v>
      </c>
      <c r="U353" s="21">
        <f t="shared" si="588"/>
        <v>0</v>
      </c>
      <c r="V353" s="21">
        <f t="shared" si="588"/>
        <v>0</v>
      </c>
      <c r="W353" s="21">
        <f t="shared" si="588"/>
        <v>17053.400000000001</v>
      </c>
      <c r="X353" s="21">
        <f t="shared" si="588"/>
        <v>0</v>
      </c>
      <c r="Y353" s="21">
        <f t="shared" si="588"/>
        <v>5078.7</v>
      </c>
      <c r="Z353" s="21">
        <f t="shared" si="588"/>
        <v>0</v>
      </c>
      <c r="AA353" s="21">
        <f t="shared" si="588"/>
        <v>0</v>
      </c>
      <c r="AB353" s="21">
        <f t="shared" si="588"/>
        <v>5078.7</v>
      </c>
      <c r="AC353" s="21">
        <f t="shared" si="588"/>
        <v>0</v>
      </c>
      <c r="AD353" s="21">
        <f t="shared" si="588"/>
        <v>0</v>
      </c>
      <c r="AE353" s="21">
        <f t="shared" si="588"/>
        <v>0</v>
      </c>
      <c r="AF353" s="21">
        <f t="shared" si="588"/>
        <v>0</v>
      </c>
      <c r="AG353" s="21">
        <f t="shared" si="588"/>
        <v>0</v>
      </c>
      <c r="AH353" s="21">
        <f t="shared" si="588"/>
        <v>0</v>
      </c>
      <c r="AI353" s="21">
        <f t="shared" si="588"/>
        <v>0</v>
      </c>
      <c r="AJ353" s="21">
        <f t="shared" si="588"/>
        <v>0</v>
      </c>
      <c r="AK353" s="21">
        <f t="shared" si="588"/>
        <v>0</v>
      </c>
      <c r="AL353" s="21">
        <f t="shared" si="588"/>
        <v>0</v>
      </c>
      <c r="AM353" s="21">
        <f t="shared" si="588"/>
        <v>0</v>
      </c>
    </row>
    <row r="354" spans="1:39" s="2" customFormat="1" ht="78.75" outlineLevel="3" x14ac:dyDescent="0.25">
      <c r="A354" s="8" t="s">
        <v>211</v>
      </c>
      <c r="B354" s="32" t="s">
        <v>273</v>
      </c>
      <c r="C354" s="26" t="s">
        <v>376</v>
      </c>
      <c r="D354" s="26" t="s">
        <v>118</v>
      </c>
      <c r="E354" s="20">
        <f t="shared" ref="E354:E362" si="589">SUM(F354:I354)</f>
        <v>14700</v>
      </c>
      <c r="F354" s="38">
        <f t="shared" ref="F354:F362" si="590">K354+P354+U354</f>
        <v>0</v>
      </c>
      <c r="G354" s="38">
        <f>L354+Q354+V354+AA354+AF354+AK354</f>
        <v>0</v>
      </c>
      <c r="H354" s="38">
        <f>M354+R354+W354+AB354+AG354+AL354</f>
        <v>14700</v>
      </c>
      <c r="I354" s="38">
        <f t="shared" ref="I354:I361" si="591">N354+S354+X354+AC354+AH354+AM354</f>
        <v>0</v>
      </c>
      <c r="J354" s="18">
        <f t="shared" ref="J354:J361" si="592">SUM(K354:N354)</f>
        <v>14700</v>
      </c>
      <c r="K354" s="19">
        <v>0</v>
      </c>
      <c r="L354" s="19">
        <v>0</v>
      </c>
      <c r="M354" s="19">
        <v>14700</v>
      </c>
      <c r="N354" s="19">
        <v>0</v>
      </c>
      <c r="O354" s="18">
        <f t="shared" ref="O354:O362" si="593">SUM(P354:S354)</f>
        <v>0</v>
      </c>
      <c r="P354" s="19">
        <v>0</v>
      </c>
      <c r="Q354" s="19">
        <v>0</v>
      </c>
      <c r="R354" s="19">
        <v>0</v>
      </c>
      <c r="S354" s="19">
        <v>0</v>
      </c>
      <c r="T354" s="18">
        <f t="shared" ref="T354:T361" si="594">SUM(U354:X354)</f>
        <v>0</v>
      </c>
      <c r="U354" s="19">
        <v>0</v>
      </c>
      <c r="V354" s="19">
        <v>0</v>
      </c>
      <c r="W354" s="19">
        <v>0</v>
      </c>
      <c r="X354" s="19">
        <v>0</v>
      </c>
      <c r="Y354" s="18">
        <f t="shared" ref="Y354:Y361" si="595">SUM(Z354:AC354)</f>
        <v>0</v>
      </c>
      <c r="Z354" s="19">
        <v>0</v>
      </c>
      <c r="AA354" s="19">
        <v>0</v>
      </c>
      <c r="AB354" s="19">
        <v>0</v>
      </c>
      <c r="AC354" s="19">
        <v>0</v>
      </c>
      <c r="AD354" s="18">
        <f t="shared" ref="AD354:AD361" si="596">SUM(AE354:AH354)</f>
        <v>0</v>
      </c>
      <c r="AE354" s="19">
        <v>0</v>
      </c>
      <c r="AF354" s="19">
        <v>0</v>
      </c>
      <c r="AG354" s="19">
        <v>0</v>
      </c>
      <c r="AH354" s="19">
        <v>0</v>
      </c>
      <c r="AI354" s="18">
        <f t="shared" ref="AI354:AI361" si="597">SUM(AJ354:AM354)</f>
        <v>0</v>
      </c>
      <c r="AJ354" s="19">
        <v>0</v>
      </c>
      <c r="AK354" s="19">
        <v>0</v>
      </c>
      <c r="AL354" s="19">
        <v>0</v>
      </c>
      <c r="AM354" s="19">
        <v>0</v>
      </c>
    </row>
    <row r="355" spans="1:39" s="2" customFormat="1" ht="47.25" outlineLevel="3" x14ac:dyDescent="0.25">
      <c r="A355" s="8" t="s">
        <v>212</v>
      </c>
      <c r="B355" s="32" t="s">
        <v>746</v>
      </c>
      <c r="C355" s="26" t="s">
        <v>32</v>
      </c>
      <c r="D355" s="26" t="s">
        <v>118</v>
      </c>
      <c r="E355" s="20">
        <f t="shared" si="589"/>
        <v>7352.5</v>
      </c>
      <c r="F355" s="38">
        <f t="shared" si="590"/>
        <v>0</v>
      </c>
      <c r="G355" s="38">
        <f t="shared" ref="G355:G361" si="598">L355+Q355+V355+AA355+AF355+AK355</f>
        <v>0</v>
      </c>
      <c r="H355" s="38">
        <f t="shared" ref="H355:H362" si="599">M355+R355+W355+AB355+AG355+AL355</f>
        <v>7352.5</v>
      </c>
      <c r="I355" s="38">
        <f t="shared" si="591"/>
        <v>0</v>
      </c>
      <c r="J355" s="18">
        <f t="shared" si="592"/>
        <v>0</v>
      </c>
      <c r="K355" s="19">
        <v>0</v>
      </c>
      <c r="L355" s="19">
        <v>0</v>
      </c>
      <c r="M355" s="19">
        <v>0</v>
      </c>
      <c r="N355" s="19">
        <v>0</v>
      </c>
      <c r="O355" s="18">
        <f t="shared" si="593"/>
        <v>0</v>
      </c>
      <c r="P355" s="19">
        <v>0</v>
      </c>
      <c r="Q355" s="19">
        <v>0</v>
      </c>
      <c r="R355" s="19">
        <f>7352.5-7352.5</f>
        <v>0</v>
      </c>
      <c r="S355" s="19">
        <v>0</v>
      </c>
      <c r="T355" s="18">
        <f t="shared" si="594"/>
        <v>7352.5</v>
      </c>
      <c r="U355" s="19">
        <v>0</v>
      </c>
      <c r="V355" s="19">
        <v>0</v>
      </c>
      <c r="W355" s="19">
        <v>7352.5</v>
      </c>
      <c r="X355" s="19">
        <v>0</v>
      </c>
      <c r="Y355" s="18">
        <f t="shared" si="595"/>
        <v>0</v>
      </c>
      <c r="Z355" s="19">
        <v>0</v>
      </c>
      <c r="AA355" s="19">
        <v>0</v>
      </c>
      <c r="AB355" s="19">
        <v>0</v>
      </c>
      <c r="AC355" s="19">
        <v>0</v>
      </c>
      <c r="AD355" s="18">
        <f t="shared" si="596"/>
        <v>0</v>
      </c>
      <c r="AE355" s="19">
        <v>0</v>
      </c>
      <c r="AF355" s="19">
        <v>0</v>
      </c>
      <c r="AG355" s="19">
        <v>0</v>
      </c>
      <c r="AH355" s="19">
        <v>0</v>
      </c>
      <c r="AI355" s="18">
        <f t="shared" si="597"/>
        <v>0</v>
      </c>
      <c r="AJ355" s="19">
        <v>0</v>
      </c>
      <c r="AK355" s="19">
        <v>0</v>
      </c>
      <c r="AL355" s="19">
        <v>0</v>
      </c>
      <c r="AM355" s="19">
        <v>0</v>
      </c>
    </row>
    <row r="356" spans="1:39" s="2" customFormat="1" ht="31.5" outlineLevel="3" x14ac:dyDescent="0.25">
      <c r="A356" s="8" t="s">
        <v>213</v>
      </c>
      <c r="B356" s="32" t="s">
        <v>111</v>
      </c>
      <c r="C356" s="26" t="s">
        <v>32</v>
      </c>
      <c r="D356" s="26" t="s">
        <v>118</v>
      </c>
      <c r="E356" s="20">
        <f t="shared" si="589"/>
        <v>2200</v>
      </c>
      <c r="F356" s="38">
        <f t="shared" si="590"/>
        <v>0</v>
      </c>
      <c r="G356" s="38">
        <f t="shared" si="598"/>
        <v>0</v>
      </c>
      <c r="H356" s="38">
        <f t="shared" si="599"/>
        <v>2200</v>
      </c>
      <c r="I356" s="38">
        <f t="shared" si="591"/>
        <v>0</v>
      </c>
      <c r="J356" s="18">
        <f t="shared" si="592"/>
        <v>1100</v>
      </c>
      <c r="K356" s="19">
        <v>0</v>
      </c>
      <c r="L356" s="19">
        <v>0</v>
      </c>
      <c r="M356" s="19">
        <v>1100</v>
      </c>
      <c r="N356" s="19">
        <v>0</v>
      </c>
      <c r="O356" s="18">
        <f t="shared" si="593"/>
        <v>1100</v>
      </c>
      <c r="P356" s="19">
        <v>0</v>
      </c>
      <c r="Q356" s="19">
        <v>0</v>
      </c>
      <c r="R356" s="19">
        <v>1100</v>
      </c>
      <c r="S356" s="19">
        <v>0</v>
      </c>
      <c r="T356" s="18">
        <f t="shared" si="594"/>
        <v>0</v>
      </c>
      <c r="U356" s="19">
        <v>0</v>
      </c>
      <c r="V356" s="19">
        <v>0</v>
      </c>
      <c r="W356" s="19">
        <v>0</v>
      </c>
      <c r="X356" s="19">
        <v>0</v>
      </c>
      <c r="Y356" s="18">
        <f t="shared" si="595"/>
        <v>0</v>
      </c>
      <c r="Z356" s="19">
        <v>0</v>
      </c>
      <c r="AA356" s="19">
        <v>0</v>
      </c>
      <c r="AB356" s="19">
        <v>0</v>
      </c>
      <c r="AC356" s="19">
        <v>0</v>
      </c>
      <c r="AD356" s="18">
        <f t="shared" si="596"/>
        <v>0</v>
      </c>
      <c r="AE356" s="19">
        <v>0</v>
      </c>
      <c r="AF356" s="19">
        <v>0</v>
      </c>
      <c r="AG356" s="19">
        <v>0</v>
      </c>
      <c r="AH356" s="19">
        <v>0</v>
      </c>
      <c r="AI356" s="18">
        <f t="shared" si="597"/>
        <v>0</v>
      </c>
      <c r="AJ356" s="19">
        <v>0</v>
      </c>
      <c r="AK356" s="19">
        <v>0</v>
      </c>
      <c r="AL356" s="19">
        <v>0</v>
      </c>
      <c r="AM356" s="19">
        <v>0</v>
      </c>
    </row>
    <row r="357" spans="1:39" s="2" customFormat="1" ht="31.5" outlineLevel="3" x14ac:dyDescent="0.25">
      <c r="A357" s="8" t="s">
        <v>214</v>
      </c>
      <c r="B357" s="32" t="s">
        <v>581</v>
      </c>
      <c r="C357" s="26" t="s">
        <v>32</v>
      </c>
      <c r="D357" s="26" t="s">
        <v>118</v>
      </c>
      <c r="E357" s="20">
        <f>SUM(F357:I357)</f>
        <v>844.7</v>
      </c>
      <c r="F357" s="38">
        <f t="shared" si="590"/>
        <v>0</v>
      </c>
      <c r="G357" s="38">
        <f t="shared" ref="G357:I360" si="600">L357+Q357+V357+AA357+AF357+AK357</f>
        <v>0</v>
      </c>
      <c r="H357" s="38">
        <f t="shared" si="600"/>
        <v>844.7</v>
      </c>
      <c r="I357" s="38">
        <f t="shared" si="600"/>
        <v>0</v>
      </c>
      <c r="J357" s="18">
        <f>SUM(K357:N357)</f>
        <v>0</v>
      </c>
      <c r="K357" s="19">
        <v>0</v>
      </c>
      <c r="L357" s="19">
        <v>0</v>
      </c>
      <c r="M357" s="19">
        <v>0</v>
      </c>
      <c r="N357" s="19">
        <v>0</v>
      </c>
      <c r="O357" s="18">
        <f>SUM(P357:S357)</f>
        <v>844.7</v>
      </c>
      <c r="P357" s="19">
        <v>0</v>
      </c>
      <c r="Q357" s="19">
        <v>0</v>
      </c>
      <c r="R357" s="19">
        <v>844.7</v>
      </c>
      <c r="S357" s="19">
        <v>0</v>
      </c>
      <c r="T357" s="18">
        <f>SUM(U357:X357)</f>
        <v>0</v>
      </c>
      <c r="U357" s="19">
        <v>0</v>
      </c>
      <c r="V357" s="19">
        <v>0</v>
      </c>
      <c r="W357" s="19">
        <v>0</v>
      </c>
      <c r="X357" s="19">
        <v>0</v>
      </c>
      <c r="Y357" s="18">
        <f>SUM(Z357:AC357)</f>
        <v>0</v>
      </c>
      <c r="Z357" s="19">
        <v>0</v>
      </c>
      <c r="AA357" s="19">
        <v>0</v>
      </c>
      <c r="AB357" s="19">
        <v>0</v>
      </c>
      <c r="AC357" s="19">
        <v>0</v>
      </c>
      <c r="AD357" s="18">
        <f>SUM(AE357:AH357)</f>
        <v>0</v>
      </c>
      <c r="AE357" s="19">
        <v>0</v>
      </c>
      <c r="AF357" s="19">
        <v>0</v>
      </c>
      <c r="AG357" s="19">
        <v>0</v>
      </c>
      <c r="AH357" s="19">
        <v>0</v>
      </c>
      <c r="AI357" s="18">
        <f>SUM(AJ357:AM357)</f>
        <v>0</v>
      </c>
      <c r="AJ357" s="19">
        <v>0</v>
      </c>
      <c r="AK357" s="19">
        <v>0</v>
      </c>
      <c r="AL357" s="19">
        <v>0</v>
      </c>
      <c r="AM357" s="19">
        <v>0</v>
      </c>
    </row>
    <row r="358" spans="1:39" s="2" customFormat="1" ht="78.75" outlineLevel="3" x14ac:dyDescent="0.25">
      <c r="A358" s="8" t="s">
        <v>493</v>
      </c>
      <c r="B358" s="32" t="s">
        <v>112</v>
      </c>
      <c r="C358" s="26" t="s">
        <v>376</v>
      </c>
      <c r="D358" s="26" t="s">
        <v>118</v>
      </c>
      <c r="E358" s="20">
        <f>SUM(F358:I358)</f>
        <v>3790.1</v>
      </c>
      <c r="F358" s="38">
        <f t="shared" si="590"/>
        <v>0</v>
      </c>
      <c r="G358" s="38">
        <f t="shared" si="600"/>
        <v>0</v>
      </c>
      <c r="H358" s="38">
        <f t="shared" si="600"/>
        <v>3790.1</v>
      </c>
      <c r="I358" s="38">
        <f t="shared" si="600"/>
        <v>0</v>
      </c>
      <c r="J358" s="18">
        <f>SUM(K358:N358)</f>
        <v>3790.1</v>
      </c>
      <c r="K358" s="19">
        <v>0</v>
      </c>
      <c r="L358" s="19">
        <v>0</v>
      </c>
      <c r="M358" s="19">
        <f>3987.9-378.8+181</f>
        <v>3790.1</v>
      </c>
      <c r="N358" s="19">
        <v>0</v>
      </c>
      <c r="O358" s="18">
        <f>SUM(P358:S358)</f>
        <v>0</v>
      </c>
      <c r="P358" s="19">
        <v>0</v>
      </c>
      <c r="Q358" s="19">
        <v>0</v>
      </c>
      <c r="R358" s="19">
        <v>0</v>
      </c>
      <c r="S358" s="19">
        <v>0</v>
      </c>
      <c r="T358" s="18">
        <f>SUM(U358:X358)</f>
        <v>0</v>
      </c>
      <c r="U358" s="19">
        <v>0</v>
      </c>
      <c r="V358" s="19">
        <v>0</v>
      </c>
      <c r="W358" s="19">
        <v>0</v>
      </c>
      <c r="X358" s="19">
        <v>0</v>
      </c>
      <c r="Y358" s="18">
        <f>SUM(Z358:AC358)</f>
        <v>0</v>
      </c>
      <c r="Z358" s="19">
        <v>0</v>
      </c>
      <c r="AA358" s="19">
        <v>0</v>
      </c>
      <c r="AB358" s="19">
        <v>0</v>
      </c>
      <c r="AC358" s="19">
        <v>0</v>
      </c>
      <c r="AD358" s="18">
        <f>SUM(AE358:AH358)</f>
        <v>0</v>
      </c>
      <c r="AE358" s="19">
        <v>0</v>
      </c>
      <c r="AF358" s="19">
        <v>0</v>
      </c>
      <c r="AG358" s="19">
        <v>0</v>
      </c>
      <c r="AH358" s="19">
        <v>0</v>
      </c>
      <c r="AI358" s="18">
        <f>SUM(AJ358:AM358)</f>
        <v>0</v>
      </c>
      <c r="AJ358" s="19">
        <v>0</v>
      </c>
      <c r="AK358" s="19">
        <v>0</v>
      </c>
      <c r="AL358" s="19">
        <v>0</v>
      </c>
      <c r="AM358" s="19">
        <v>0</v>
      </c>
    </row>
    <row r="359" spans="1:39" s="2" customFormat="1" ht="47.25" outlineLevel="3" x14ac:dyDescent="0.25">
      <c r="A359" s="8" t="s">
        <v>500</v>
      </c>
      <c r="B359" s="32" t="s">
        <v>523</v>
      </c>
      <c r="C359" s="26" t="s">
        <v>32</v>
      </c>
      <c r="D359" s="26" t="s">
        <v>8</v>
      </c>
      <c r="E359" s="20">
        <f>SUM(F359:I359)</f>
        <v>1000.5</v>
      </c>
      <c r="F359" s="38">
        <f t="shared" si="590"/>
        <v>0</v>
      </c>
      <c r="G359" s="38">
        <f t="shared" si="600"/>
        <v>0</v>
      </c>
      <c r="H359" s="38">
        <f t="shared" si="600"/>
        <v>1000.5</v>
      </c>
      <c r="I359" s="38">
        <f t="shared" si="600"/>
        <v>0</v>
      </c>
      <c r="J359" s="18">
        <f>SUM(K359:N359)</f>
        <v>0</v>
      </c>
      <c r="K359" s="19">
        <v>0</v>
      </c>
      <c r="L359" s="19">
        <v>0</v>
      </c>
      <c r="M359" s="19">
        <v>0</v>
      </c>
      <c r="N359" s="19">
        <v>0</v>
      </c>
      <c r="O359" s="18">
        <f>SUM(P359:S359)</f>
        <v>1000.5</v>
      </c>
      <c r="P359" s="19">
        <v>0</v>
      </c>
      <c r="Q359" s="19">
        <v>0</v>
      </c>
      <c r="R359" s="19">
        <v>1000.5</v>
      </c>
      <c r="S359" s="19">
        <v>0</v>
      </c>
      <c r="T359" s="18">
        <f>SUM(U359:X359)</f>
        <v>0</v>
      </c>
      <c r="U359" s="19">
        <v>0</v>
      </c>
      <c r="V359" s="19">
        <v>0</v>
      </c>
      <c r="W359" s="19">
        <v>0</v>
      </c>
      <c r="X359" s="19">
        <v>0</v>
      </c>
      <c r="Y359" s="18">
        <f>SUM(Z359:AC359)</f>
        <v>0</v>
      </c>
      <c r="Z359" s="19">
        <v>0</v>
      </c>
      <c r="AA359" s="19">
        <v>0</v>
      </c>
      <c r="AB359" s="19">
        <v>0</v>
      </c>
      <c r="AC359" s="19">
        <v>0</v>
      </c>
      <c r="AD359" s="18">
        <f>SUM(AE359:AH359)</f>
        <v>0</v>
      </c>
      <c r="AE359" s="19">
        <v>0</v>
      </c>
      <c r="AF359" s="19">
        <v>0</v>
      </c>
      <c r="AG359" s="19">
        <v>0</v>
      </c>
      <c r="AH359" s="19">
        <v>0</v>
      </c>
      <c r="AI359" s="18">
        <f>SUM(AJ359:AM359)</f>
        <v>0</v>
      </c>
      <c r="AJ359" s="19">
        <v>0</v>
      </c>
      <c r="AK359" s="19">
        <v>0</v>
      </c>
      <c r="AL359" s="19">
        <v>0</v>
      </c>
      <c r="AM359" s="19">
        <v>0</v>
      </c>
    </row>
    <row r="360" spans="1:39" s="2" customFormat="1" ht="31.5" outlineLevel="3" x14ac:dyDescent="0.25">
      <c r="A360" s="8" t="s">
        <v>522</v>
      </c>
      <c r="B360" s="32" t="s">
        <v>494</v>
      </c>
      <c r="C360" s="26" t="s">
        <v>32</v>
      </c>
      <c r="D360" s="26" t="s">
        <v>118</v>
      </c>
      <c r="E360" s="20">
        <f>SUM(F360:I360)</f>
        <v>1148.2</v>
      </c>
      <c r="F360" s="38">
        <f t="shared" si="590"/>
        <v>0</v>
      </c>
      <c r="G360" s="38">
        <f t="shared" si="600"/>
        <v>0</v>
      </c>
      <c r="H360" s="38">
        <f t="shared" si="600"/>
        <v>1148.2</v>
      </c>
      <c r="I360" s="38">
        <f t="shared" si="600"/>
        <v>0</v>
      </c>
      <c r="J360" s="18">
        <f>SUM(K360:N360)</f>
        <v>0</v>
      </c>
      <c r="K360" s="19">
        <v>0</v>
      </c>
      <c r="L360" s="19">
        <v>0</v>
      </c>
      <c r="M360" s="19">
        <v>0</v>
      </c>
      <c r="N360" s="19">
        <v>0</v>
      </c>
      <c r="O360" s="18">
        <f>SUM(P360:S360)</f>
        <v>1148.2</v>
      </c>
      <c r="P360" s="19">
        <v>0</v>
      </c>
      <c r="Q360" s="19">
        <v>0</v>
      </c>
      <c r="R360" s="19">
        <v>1148.2</v>
      </c>
      <c r="S360" s="19">
        <v>0</v>
      </c>
      <c r="T360" s="18">
        <f>SUM(U360:X360)</f>
        <v>0</v>
      </c>
      <c r="U360" s="19">
        <v>0</v>
      </c>
      <c r="V360" s="19">
        <v>0</v>
      </c>
      <c r="W360" s="19">
        <v>0</v>
      </c>
      <c r="X360" s="19">
        <v>0</v>
      </c>
      <c r="Y360" s="18">
        <f>SUM(Z360:AC360)</f>
        <v>0</v>
      </c>
      <c r="Z360" s="19">
        <v>0</v>
      </c>
      <c r="AA360" s="19">
        <v>0</v>
      </c>
      <c r="AB360" s="19">
        <v>0</v>
      </c>
      <c r="AC360" s="19">
        <v>0</v>
      </c>
      <c r="AD360" s="18">
        <f>SUM(AE360:AH360)</f>
        <v>0</v>
      </c>
      <c r="AE360" s="19">
        <v>0</v>
      </c>
      <c r="AF360" s="19">
        <v>0</v>
      </c>
      <c r="AG360" s="19">
        <v>0</v>
      </c>
      <c r="AH360" s="19">
        <v>0</v>
      </c>
      <c r="AI360" s="18">
        <f>SUM(AJ360:AM360)</f>
        <v>0</v>
      </c>
      <c r="AJ360" s="19">
        <v>0</v>
      </c>
      <c r="AK360" s="19">
        <v>0</v>
      </c>
      <c r="AL360" s="19">
        <v>0</v>
      </c>
      <c r="AM360" s="19">
        <v>0</v>
      </c>
    </row>
    <row r="361" spans="1:39" s="2" customFormat="1" ht="78.75" outlineLevel="3" x14ac:dyDescent="0.25">
      <c r="A361" s="8" t="s">
        <v>568</v>
      </c>
      <c r="B361" s="32" t="s">
        <v>501</v>
      </c>
      <c r="C361" s="216" t="s">
        <v>32</v>
      </c>
      <c r="D361" s="216" t="s">
        <v>8</v>
      </c>
      <c r="E361" s="20">
        <f t="shared" si="589"/>
        <v>14789.599999999999</v>
      </c>
      <c r="F361" s="38">
        <f t="shared" si="590"/>
        <v>0</v>
      </c>
      <c r="G361" s="38">
        <f t="shared" si="598"/>
        <v>0</v>
      </c>
      <c r="H361" s="38">
        <f>M361+R361+W361+AB361+AG361+AL361</f>
        <v>14789.599999999999</v>
      </c>
      <c r="I361" s="38">
        <f t="shared" si="591"/>
        <v>0</v>
      </c>
      <c r="J361" s="18">
        <f t="shared" si="592"/>
        <v>0</v>
      </c>
      <c r="K361" s="19">
        <v>0</v>
      </c>
      <c r="L361" s="19">
        <v>0</v>
      </c>
      <c r="M361" s="19">
        <v>0</v>
      </c>
      <c r="N361" s="19">
        <v>0</v>
      </c>
      <c r="O361" s="18">
        <f t="shared" si="593"/>
        <v>10</v>
      </c>
      <c r="P361" s="19">
        <v>0</v>
      </c>
      <c r="Q361" s="19">
        <v>0</v>
      </c>
      <c r="R361" s="19">
        <f>5665.3-602.5-5052.8</f>
        <v>10</v>
      </c>
      <c r="S361" s="19">
        <v>0</v>
      </c>
      <c r="T361" s="18">
        <f t="shared" si="594"/>
        <v>9700.9</v>
      </c>
      <c r="U361" s="19">
        <v>0</v>
      </c>
      <c r="V361" s="19">
        <v>0</v>
      </c>
      <c r="W361" s="19">
        <f>6306.7+3060.3+333.9</f>
        <v>9700.9</v>
      </c>
      <c r="X361" s="19">
        <v>0</v>
      </c>
      <c r="Y361" s="18">
        <f t="shared" si="595"/>
        <v>5078.7</v>
      </c>
      <c r="Z361" s="19">
        <v>0</v>
      </c>
      <c r="AA361" s="19">
        <v>0</v>
      </c>
      <c r="AB361" s="19">
        <f>1582.9+3574.9-79.1</f>
        <v>5078.7</v>
      </c>
      <c r="AC361" s="19">
        <v>0</v>
      </c>
      <c r="AD361" s="18">
        <f t="shared" si="596"/>
        <v>0</v>
      </c>
      <c r="AE361" s="19">
        <v>0</v>
      </c>
      <c r="AF361" s="19">
        <v>0</v>
      </c>
      <c r="AG361" s="19">
        <v>0</v>
      </c>
      <c r="AH361" s="19">
        <v>0</v>
      </c>
      <c r="AI361" s="18">
        <f t="shared" si="597"/>
        <v>0</v>
      </c>
      <c r="AJ361" s="19">
        <v>0</v>
      </c>
      <c r="AK361" s="19">
        <v>0</v>
      </c>
      <c r="AL361" s="19">
        <v>0</v>
      </c>
      <c r="AM361" s="19">
        <v>0</v>
      </c>
    </row>
    <row r="362" spans="1:39" s="2" customFormat="1" ht="31.5" outlineLevel="3" x14ac:dyDescent="0.25">
      <c r="A362" s="8" t="s">
        <v>714</v>
      </c>
      <c r="B362" s="32" t="s">
        <v>715</v>
      </c>
      <c r="C362" s="217"/>
      <c r="D362" s="217"/>
      <c r="E362" s="20">
        <f t="shared" si="589"/>
        <v>602.5</v>
      </c>
      <c r="F362" s="38">
        <f t="shared" si="590"/>
        <v>0</v>
      </c>
      <c r="G362" s="38">
        <f>L362+Q362+V362+AA362+AF362+AK362</f>
        <v>0</v>
      </c>
      <c r="H362" s="38">
        <f t="shared" si="599"/>
        <v>602.5</v>
      </c>
      <c r="I362" s="38">
        <v>0</v>
      </c>
      <c r="J362" s="18">
        <v>0</v>
      </c>
      <c r="K362" s="19">
        <v>0</v>
      </c>
      <c r="L362" s="19">
        <v>0</v>
      </c>
      <c r="M362" s="19">
        <v>0</v>
      </c>
      <c r="N362" s="19">
        <v>0</v>
      </c>
      <c r="O362" s="18">
        <f t="shared" si="593"/>
        <v>602.5</v>
      </c>
      <c r="P362" s="19">
        <v>0</v>
      </c>
      <c r="Q362" s="19">
        <v>0</v>
      </c>
      <c r="R362" s="19">
        <v>602.5</v>
      </c>
      <c r="S362" s="19">
        <v>0</v>
      </c>
      <c r="T362" s="19">
        <v>0</v>
      </c>
      <c r="U362" s="19">
        <v>0</v>
      </c>
      <c r="V362" s="19">
        <v>0</v>
      </c>
      <c r="W362" s="19">
        <v>0</v>
      </c>
      <c r="X362" s="19">
        <v>0</v>
      </c>
      <c r="Y362" s="19">
        <v>0</v>
      </c>
      <c r="Z362" s="19">
        <v>0</v>
      </c>
      <c r="AA362" s="19">
        <v>0</v>
      </c>
      <c r="AB362" s="19">
        <v>0</v>
      </c>
      <c r="AC362" s="19">
        <v>0</v>
      </c>
      <c r="AD362" s="19">
        <v>0</v>
      </c>
      <c r="AE362" s="19">
        <v>0</v>
      </c>
      <c r="AF362" s="19">
        <v>0</v>
      </c>
      <c r="AG362" s="19">
        <v>0</v>
      </c>
      <c r="AH362" s="19">
        <v>0</v>
      </c>
      <c r="AI362" s="19">
        <v>0</v>
      </c>
      <c r="AJ362" s="19">
        <v>0</v>
      </c>
      <c r="AK362" s="19">
        <v>0</v>
      </c>
      <c r="AL362" s="19">
        <v>0</v>
      </c>
      <c r="AM362" s="19">
        <v>0</v>
      </c>
    </row>
    <row r="363" spans="1:39" s="5" customFormat="1" ht="32.25" customHeight="1" outlineLevel="1" x14ac:dyDescent="0.25">
      <c r="A363" s="165" t="s">
        <v>215</v>
      </c>
      <c r="B363" s="194" t="s">
        <v>265</v>
      </c>
      <c r="C363" s="195"/>
      <c r="D363" s="195"/>
      <c r="E363" s="18">
        <f>E364+E384+E403+E409</f>
        <v>328352.09999999992</v>
      </c>
      <c r="F363" s="18">
        <f t="shared" ref="F363:AM363" si="601">F364+F384+F403+F409</f>
        <v>0</v>
      </c>
      <c r="G363" s="18">
        <f t="shared" si="601"/>
        <v>0</v>
      </c>
      <c r="H363" s="18">
        <f t="shared" si="601"/>
        <v>328352.09999999992</v>
      </c>
      <c r="I363" s="18">
        <f t="shared" si="601"/>
        <v>0</v>
      </c>
      <c r="J363" s="18">
        <f t="shared" si="601"/>
        <v>43508.700000000004</v>
      </c>
      <c r="K363" s="18">
        <f t="shared" si="601"/>
        <v>0</v>
      </c>
      <c r="L363" s="18">
        <f t="shared" si="601"/>
        <v>0</v>
      </c>
      <c r="M363" s="18">
        <f t="shared" si="601"/>
        <v>43508.700000000004</v>
      </c>
      <c r="N363" s="18">
        <f t="shared" si="601"/>
        <v>0</v>
      </c>
      <c r="O363" s="18">
        <f t="shared" si="601"/>
        <v>51676.499999999985</v>
      </c>
      <c r="P363" s="18">
        <f t="shared" si="601"/>
        <v>0</v>
      </c>
      <c r="Q363" s="18">
        <f t="shared" si="601"/>
        <v>0</v>
      </c>
      <c r="R363" s="18">
        <f t="shared" si="601"/>
        <v>51676.499999999985</v>
      </c>
      <c r="S363" s="18">
        <f t="shared" si="601"/>
        <v>0</v>
      </c>
      <c r="T363" s="18">
        <f t="shared" si="601"/>
        <v>55175.9</v>
      </c>
      <c r="U363" s="18">
        <f t="shared" si="601"/>
        <v>0</v>
      </c>
      <c r="V363" s="18">
        <f t="shared" si="601"/>
        <v>0</v>
      </c>
      <c r="W363" s="18">
        <f t="shared" si="601"/>
        <v>55175.9</v>
      </c>
      <c r="X363" s="18">
        <f t="shared" si="601"/>
        <v>0</v>
      </c>
      <c r="Y363" s="18">
        <f t="shared" si="601"/>
        <v>72987.199999999997</v>
      </c>
      <c r="Z363" s="18">
        <f t="shared" si="601"/>
        <v>0</v>
      </c>
      <c r="AA363" s="18">
        <f t="shared" si="601"/>
        <v>0</v>
      </c>
      <c r="AB363" s="18">
        <f t="shared" si="601"/>
        <v>72987.199999999997</v>
      </c>
      <c r="AC363" s="18">
        <f t="shared" si="601"/>
        <v>0</v>
      </c>
      <c r="AD363" s="18">
        <f t="shared" si="601"/>
        <v>52273.700000000012</v>
      </c>
      <c r="AE363" s="18">
        <f t="shared" si="601"/>
        <v>0</v>
      </c>
      <c r="AF363" s="18">
        <f t="shared" si="601"/>
        <v>0</v>
      </c>
      <c r="AG363" s="18">
        <f t="shared" si="601"/>
        <v>52273.700000000012</v>
      </c>
      <c r="AH363" s="18">
        <f t="shared" si="601"/>
        <v>0</v>
      </c>
      <c r="AI363" s="18">
        <f t="shared" si="601"/>
        <v>52730.1</v>
      </c>
      <c r="AJ363" s="18">
        <f t="shared" si="601"/>
        <v>0</v>
      </c>
      <c r="AK363" s="18">
        <f t="shared" si="601"/>
        <v>0</v>
      </c>
      <c r="AL363" s="18">
        <f t="shared" si="601"/>
        <v>52730.1</v>
      </c>
      <c r="AM363" s="18">
        <f t="shared" si="601"/>
        <v>0</v>
      </c>
    </row>
    <row r="364" spans="1:39" s="5" customFormat="1" ht="33" customHeight="1" outlineLevel="2" x14ac:dyDescent="0.25">
      <c r="A364" s="165" t="s">
        <v>216</v>
      </c>
      <c r="B364" s="197" t="s">
        <v>264</v>
      </c>
      <c r="C364" s="203"/>
      <c r="D364" s="203"/>
      <c r="E364" s="21">
        <f>SUM(E365:E383)</f>
        <v>93559.2</v>
      </c>
      <c r="F364" s="21">
        <f t="shared" ref="F364:AM364" si="602">SUM(F365:F383)</f>
        <v>0</v>
      </c>
      <c r="G364" s="21">
        <f t="shared" si="602"/>
        <v>0</v>
      </c>
      <c r="H364" s="21">
        <f t="shared" si="602"/>
        <v>93559.2</v>
      </c>
      <c r="I364" s="21">
        <f t="shared" si="602"/>
        <v>0</v>
      </c>
      <c r="J364" s="21">
        <f t="shared" si="602"/>
        <v>12186.499999999998</v>
      </c>
      <c r="K364" s="21">
        <f t="shared" si="602"/>
        <v>0</v>
      </c>
      <c r="L364" s="21">
        <f t="shared" si="602"/>
        <v>0</v>
      </c>
      <c r="M364" s="21">
        <f t="shared" si="602"/>
        <v>12186.499999999998</v>
      </c>
      <c r="N364" s="21">
        <f t="shared" si="602"/>
        <v>0</v>
      </c>
      <c r="O364" s="21">
        <f t="shared" si="602"/>
        <v>14634.399999999996</v>
      </c>
      <c r="P364" s="21">
        <f t="shared" si="602"/>
        <v>0</v>
      </c>
      <c r="Q364" s="21">
        <f t="shared" si="602"/>
        <v>0</v>
      </c>
      <c r="R364" s="21">
        <f t="shared" si="602"/>
        <v>14634.399999999996</v>
      </c>
      <c r="S364" s="21">
        <f t="shared" si="602"/>
        <v>0</v>
      </c>
      <c r="T364" s="21">
        <f t="shared" si="602"/>
        <v>14281.500000000004</v>
      </c>
      <c r="U364" s="21">
        <f t="shared" si="602"/>
        <v>0</v>
      </c>
      <c r="V364" s="21">
        <f t="shared" si="602"/>
        <v>0</v>
      </c>
      <c r="W364" s="21">
        <f t="shared" si="602"/>
        <v>14281.500000000004</v>
      </c>
      <c r="X364" s="21">
        <f t="shared" si="602"/>
        <v>0</v>
      </c>
      <c r="Y364" s="21">
        <f t="shared" si="602"/>
        <v>30062.999999999996</v>
      </c>
      <c r="Z364" s="21">
        <f t="shared" si="602"/>
        <v>0</v>
      </c>
      <c r="AA364" s="21">
        <f t="shared" si="602"/>
        <v>0</v>
      </c>
      <c r="AB364" s="21">
        <f t="shared" si="602"/>
        <v>30062.999999999996</v>
      </c>
      <c r="AC364" s="21">
        <f t="shared" si="602"/>
        <v>0</v>
      </c>
      <c r="AD364" s="21">
        <f t="shared" si="602"/>
        <v>11737.2</v>
      </c>
      <c r="AE364" s="21">
        <f t="shared" si="602"/>
        <v>0</v>
      </c>
      <c r="AF364" s="21">
        <f t="shared" si="602"/>
        <v>0</v>
      </c>
      <c r="AG364" s="21">
        <f t="shared" si="602"/>
        <v>11737.2</v>
      </c>
      <c r="AH364" s="21">
        <f t="shared" si="602"/>
        <v>0</v>
      </c>
      <c r="AI364" s="21">
        <f t="shared" si="602"/>
        <v>10656.6</v>
      </c>
      <c r="AJ364" s="21">
        <f t="shared" si="602"/>
        <v>0</v>
      </c>
      <c r="AK364" s="21">
        <f t="shared" si="602"/>
        <v>0</v>
      </c>
      <c r="AL364" s="21">
        <f t="shared" si="602"/>
        <v>10656.6</v>
      </c>
      <c r="AM364" s="21">
        <f t="shared" si="602"/>
        <v>0</v>
      </c>
    </row>
    <row r="365" spans="1:39" s="2" customFormat="1" ht="78.75" outlineLevel="3" x14ac:dyDescent="0.25">
      <c r="A365" s="8" t="s">
        <v>217</v>
      </c>
      <c r="B365" s="33" t="s">
        <v>66</v>
      </c>
      <c r="C365" s="26" t="s">
        <v>376</v>
      </c>
      <c r="D365" s="26" t="s">
        <v>118</v>
      </c>
      <c r="E365" s="20">
        <f t="shared" ref="E365:E383" si="603">SUM(F365:I365)</f>
        <v>927.6</v>
      </c>
      <c r="F365" s="38">
        <f t="shared" ref="F365:F383" si="604">K365+P365+U365</f>
        <v>0</v>
      </c>
      <c r="G365" s="38">
        <f>L365+Q365+V365+AA365+AF365+AK365</f>
        <v>0</v>
      </c>
      <c r="H365" s="38">
        <f>M365+R365+W365+AB365+AG365+AL365</f>
        <v>927.6</v>
      </c>
      <c r="I365" s="38">
        <f t="shared" ref="I365:I383" si="605">N365+S365+X365+AC365+AH365+AM365</f>
        <v>0</v>
      </c>
      <c r="J365" s="18">
        <f t="shared" ref="J365:J383" si="606">SUM(K365:N365)</f>
        <v>87.5</v>
      </c>
      <c r="K365" s="19">
        <v>0</v>
      </c>
      <c r="L365" s="19">
        <v>0</v>
      </c>
      <c r="M365" s="19">
        <v>87.5</v>
      </c>
      <c r="N365" s="19">
        <v>0</v>
      </c>
      <c r="O365" s="18">
        <f t="shared" ref="O365:O383" si="607">SUM(P365:S365)</f>
        <v>81.099999999999994</v>
      </c>
      <c r="P365" s="19">
        <v>0</v>
      </c>
      <c r="Q365" s="19">
        <v>0</v>
      </c>
      <c r="R365" s="19">
        <v>81.099999999999994</v>
      </c>
      <c r="S365" s="19">
        <v>0</v>
      </c>
      <c r="T365" s="18">
        <f t="shared" ref="T365:T383" si="608">SUM(U365:X365)</f>
        <v>83.9</v>
      </c>
      <c r="U365" s="19">
        <v>0</v>
      </c>
      <c r="V365" s="19">
        <v>0</v>
      </c>
      <c r="W365" s="107">
        <v>83.9</v>
      </c>
      <c r="X365" s="19">
        <v>0</v>
      </c>
      <c r="Y365" s="18">
        <f t="shared" ref="Y365:Y383" si="609">SUM(Z365:AC365)</f>
        <v>522.1</v>
      </c>
      <c r="Z365" s="19">
        <v>0</v>
      </c>
      <c r="AA365" s="19">
        <v>0</v>
      </c>
      <c r="AB365" s="154">
        <f>72.1+450</f>
        <v>522.1</v>
      </c>
      <c r="AC365" s="19">
        <v>0</v>
      </c>
      <c r="AD365" s="18">
        <f t="shared" ref="AD365:AD383" si="610">SUM(AE365:AH365)</f>
        <v>75</v>
      </c>
      <c r="AE365" s="19">
        <v>0</v>
      </c>
      <c r="AF365" s="19">
        <v>0</v>
      </c>
      <c r="AG365" s="107">
        <v>75</v>
      </c>
      <c r="AH365" s="19">
        <v>0</v>
      </c>
      <c r="AI365" s="18">
        <f t="shared" ref="AI365:AI383" si="611">SUM(AJ365:AM365)</f>
        <v>78</v>
      </c>
      <c r="AJ365" s="19">
        <v>0</v>
      </c>
      <c r="AK365" s="19">
        <v>0</v>
      </c>
      <c r="AL365" s="107">
        <v>78</v>
      </c>
      <c r="AM365" s="19">
        <v>0</v>
      </c>
    </row>
    <row r="366" spans="1:39" s="2" customFormat="1" ht="78.75" outlineLevel="3" x14ac:dyDescent="0.25">
      <c r="A366" s="8" t="s">
        <v>218</v>
      </c>
      <c r="B366" s="33" t="s">
        <v>59</v>
      </c>
      <c r="C366" s="26" t="s">
        <v>376</v>
      </c>
      <c r="D366" s="26" t="s">
        <v>118</v>
      </c>
      <c r="E366" s="20">
        <f t="shared" si="603"/>
        <v>5880.4</v>
      </c>
      <c r="F366" s="38">
        <f t="shared" si="604"/>
        <v>0</v>
      </c>
      <c r="G366" s="38">
        <f t="shared" ref="G366:G383" si="612">L366+Q366+V366+AA366+AF366+AK366</f>
        <v>0</v>
      </c>
      <c r="H366" s="38">
        <f>M366+R366+W366+AB366+AG366+AL366</f>
        <v>5880.4</v>
      </c>
      <c r="I366" s="38">
        <f t="shared" si="605"/>
        <v>0</v>
      </c>
      <c r="J366" s="18">
        <f t="shared" si="606"/>
        <v>2286.8000000000002</v>
      </c>
      <c r="K366" s="19">
        <v>0</v>
      </c>
      <c r="L366" s="19">
        <v>0</v>
      </c>
      <c r="M366" s="19">
        <f>428+1858.8</f>
        <v>2286.8000000000002</v>
      </c>
      <c r="N366" s="19">
        <v>0</v>
      </c>
      <c r="O366" s="18">
        <f t="shared" si="607"/>
        <v>1962.5</v>
      </c>
      <c r="P366" s="19">
        <v>0</v>
      </c>
      <c r="Q366" s="19">
        <v>0</v>
      </c>
      <c r="R366" s="19">
        <f>430.6+1531.9</f>
        <v>1962.5</v>
      </c>
      <c r="S366" s="19">
        <v>0</v>
      </c>
      <c r="T366" s="18">
        <f t="shared" si="608"/>
        <v>407.4</v>
      </c>
      <c r="U366" s="19">
        <v>0</v>
      </c>
      <c r="V366" s="19">
        <v>0</v>
      </c>
      <c r="W366" s="107">
        <v>407.4</v>
      </c>
      <c r="X366" s="19">
        <v>0</v>
      </c>
      <c r="Y366" s="18">
        <f t="shared" si="609"/>
        <v>392</v>
      </c>
      <c r="Z366" s="19">
        <v>0</v>
      </c>
      <c r="AA366" s="19">
        <v>0</v>
      </c>
      <c r="AB366" s="154">
        <v>392</v>
      </c>
      <c r="AC366" s="19">
        <v>0</v>
      </c>
      <c r="AD366" s="18">
        <f t="shared" si="610"/>
        <v>407.7</v>
      </c>
      <c r="AE366" s="19">
        <v>0</v>
      </c>
      <c r="AF366" s="19">
        <v>0</v>
      </c>
      <c r="AG366" s="108">
        <v>407.7</v>
      </c>
      <c r="AH366" s="19">
        <v>0</v>
      </c>
      <c r="AI366" s="18">
        <f t="shared" si="611"/>
        <v>424</v>
      </c>
      <c r="AJ366" s="19">
        <v>0</v>
      </c>
      <c r="AK366" s="19">
        <v>0</v>
      </c>
      <c r="AL366" s="107">
        <v>424</v>
      </c>
      <c r="AM366" s="19">
        <v>0</v>
      </c>
    </row>
    <row r="367" spans="1:39" s="2" customFormat="1" ht="78.75" outlineLevel="3" x14ac:dyDescent="0.25">
      <c r="A367" s="8" t="s">
        <v>219</v>
      </c>
      <c r="B367" s="33" t="s">
        <v>23</v>
      </c>
      <c r="C367" s="26" t="s">
        <v>376</v>
      </c>
      <c r="D367" s="26" t="s">
        <v>118</v>
      </c>
      <c r="E367" s="20">
        <f t="shared" si="603"/>
        <v>25148.000000000004</v>
      </c>
      <c r="F367" s="38">
        <f t="shared" si="604"/>
        <v>0</v>
      </c>
      <c r="G367" s="38">
        <f t="shared" si="612"/>
        <v>0</v>
      </c>
      <c r="H367" s="38">
        <f>M367+R367+W367+AB367+AG367+AL367</f>
        <v>25148.000000000004</v>
      </c>
      <c r="I367" s="38">
        <f t="shared" si="605"/>
        <v>0</v>
      </c>
      <c r="J367" s="18">
        <f t="shared" si="606"/>
        <v>3601.5</v>
      </c>
      <c r="K367" s="19">
        <v>0</v>
      </c>
      <c r="L367" s="19">
        <v>0</v>
      </c>
      <c r="M367" s="19">
        <v>3601.5</v>
      </c>
      <c r="N367" s="19">
        <v>0</v>
      </c>
      <c r="O367" s="18">
        <f t="shared" si="607"/>
        <v>5972.1</v>
      </c>
      <c r="P367" s="19">
        <v>0</v>
      </c>
      <c r="Q367" s="19">
        <v>0</v>
      </c>
      <c r="R367" s="19">
        <f>3732.6+2239.5</f>
        <v>5972.1</v>
      </c>
      <c r="S367" s="19">
        <v>0</v>
      </c>
      <c r="T367" s="18">
        <f t="shared" si="608"/>
        <v>3789.8</v>
      </c>
      <c r="U367" s="19">
        <v>0</v>
      </c>
      <c r="V367" s="19">
        <v>0</v>
      </c>
      <c r="W367" s="107">
        <v>3789.8</v>
      </c>
      <c r="X367" s="19">
        <v>0</v>
      </c>
      <c r="Y367" s="18">
        <f t="shared" si="609"/>
        <v>3775.2</v>
      </c>
      <c r="Z367" s="19">
        <v>0</v>
      </c>
      <c r="AA367" s="19">
        <v>0</v>
      </c>
      <c r="AB367" s="154">
        <v>3775.2</v>
      </c>
      <c r="AC367" s="19">
        <v>0</v>
      </c>
      <c r="AD367" s="18">
        <f t="shared" si="610"/>
        <v>3926.2</v>
      </c>
      <c r="AE367" s="19">
        <v>0</v>
      </c>
      <c r="AF367" s="19">
        <v>0</v>
      </c>
      <c r="AG367" s="108">
        <v>3926.2</v>
      </c>
      <c r="AH367" s="19">
        <v>0</v>
      </c>
      <c r="AI367" s="18">
        <f t="shared" si="611"/>
        <v>4083.2</v>
      </c>
      <c r="AJ367" s="19">
        <v>0</v>
      </c>
      <c r="AK367" s="19">
        <v>0</v>
      </c>
      <c r="AL367" s="108">
        <v>4083.2</v>
      </c>
      <c r="AM367" s="19">
        <v>0</v>
      </c>
    </row>
    <row r="368" spans="1:39" s="2" customFormat="1" ht="78.75" outlineLevel="3" x14ac:dyDescent="0.25">
      <c r="A368" s="8" t="s">
        <v>220</v>
      </c>
      <c r="B368" s="33" t="s">
        <v>49</v>
      </c>
      <c r="C368" s="26" t="s">
        <v>376</v>
      </c>
      <c r="D368" s="26" t="s">
        <v>118</v>
      </c>
      <c r="E368" s="20">
        <f t="shared" si="603"/>
        <v>4199.4000000000005</v>
      </c>
      <c r="F368" s="38">
        <f t="shared" si="604"/>
        <v>0</v>
      </c>
      <c r="G368" s="38">
        <f t="shared" si="612"/>
        <v>0</v>
      </c>
      <c r="H368" s="38">
        <f>M368+R368+W368+AB368+AG368+AL368</f>
        <v>4199.4000000000005</v>
      </c>
      <c r="I368" s="38">
        <f t="shared" si="605"/>
        <v>0</v>
      </c>
      <c r="J368" s="18">
        <f t="shared" si="606"/>
        <v>664.5</v>
      </c>
      <c r="K368" s="19">
        <v>0</v>
      </c>
      <c r="L368" s="19">
        <v>0</v>
      </c>
      <c r="M368" s="19">
        <v>664.5</v>
      </c>
      <c r="N368" s="19">
        <v>0</v>
      </c>
      <c r="O368" s="18">
        <f t="shared" si="607"/>
        <v>696.3</v>
      </c>
      <c r="P368" s="19">
        <v>0</v>
      </c>
      <c r="Q368" s="19">
        <v>0</v>
      </c>
      <c r="R368" s="19">
        <v>696.3</v>
      </c>
      <c r="S368" s="19">
        <v>0</v>
      </c>
      <c r="T368" s="18">
        <f t="shared" si="608"/>
        <v>695.5</v>
      </c>
      <c r="U368" s="19">
        <v>0</v>
      </c>
      <c r="V368" s="19">
        <v>0</v>
      </c>
      <c r="W368" s="107">
        <v>695.5</v>
      </c>
      <c r="X368" s="19">
        <v>0</v>
      </c>
      <c r="Y368" s="18">
        <f t="shared" si="609"/>
        <v>686.5</v>
      </c>
      <c r="Z368" s="19">
        <v>0</v>
      </c>
      <c r="AA368" s="19">
        <v>0</v>
      </c>
      <c r="AB368" s="154">
        <v>686.5</v>
      </c>
      <c r="AC368" s="19">
        <v>0</v>
      </c>
      <c r="AD368" s="18">
        <f t="shared" si="610"/>
        <v>714</v>
      </c>
      <c r="AE368" s="19">
        <v>0</v>
      </c>
      <c r="AF368" s="19">
        <v>0</v>
      </c>
      <c r="AG368" s="107">
        <v>714</v>
      </c>
      <c r="AH368" s="19">
        <v>0</v>
      </c>
      <c r="AI368" s="18">
        <f t="shared" si="611"/>
        <v>742.6</v>
      </c>
      <c r="AJ368" s="19">
        <v>0</v>
      </c>
      <c r="AK368" s="19">
        <v>0</v>
      </c>
      <c r="AL368" s="108">
        <v>742.6</v>
      </c>
      <c r="AM368" s="19">
        <v>0</v>
      </c>
    </row>
    <row r="369" spans="1:39" s="2" customFormat="1" ht="78.75" outlineLevel="3" x14ac:dyDescent="0.25">
      <c r="A369" s="8" t="s">
        <v>221</v>
      </c>
      <c r="B369" s="33" t="s">
        <v>50</v>
      </c>
      <c r="C369" s="26" t="s">
        <v>376</v>
      </c>
      <c r="D369" s="26" t="s">
        <v>118</v>
      </c>
      <c r="E369" s="20">
        <f t="shared" si="603"/>
        <v>2768</v>
      </c>
      <c r="F369" s="38">
        <f t="shared" si="604"/>
        <v>0</v>
      </c>
      <c r="G369" s="38">
        <f t="shared" si="612"/>
        <v>0</v>
      </c>
      <c r="H369" s="38">
        <f>M369+R369+W369+AB369+AG369+AL369</f>
        <v>2768</v>
      </c>
      <c r="I369" s="38">
        <f t="shared" si="605"/>
        <v>0</v>
      </c>
      <c r="J369" s="18">
        <f t="shared" si="606"/>
        <v>265</v>
      </c>
      <c r="K369" s="19">
        <v>0</v>
      </c>
      <c r="L369" s="19">
        <v>0</v>
      </c>
      <c r="M369" s="19">
        <v>265</v>
      </c>
      <c r="N369" s="19">
        <v>0</v>
      </c>
      <c r="O369" s="18">
        <f t="shared" si="607"/>
        <v>281.8</v>
      </c>
      <c r="P369" s="19">
        <v>0</v>
      </c>
      <c r="Q369" s="19">
        <v>0</v>
      </c>
      <c r="R369" s="19">
        <v>281.8</v>
      </c>
      <c r="S369" s="19">
        <v>0</v>
      </c>
      <c r="T369" s="18">
        <f t="shared" si="608"/>
        <v>288.10000000000002</v>
      </c>
      <c r="U369" s="19">
        <v>0</v>
      </c>
      <c r="V369" s="19">
        <v>0</v>
      </c>
      <c r="W369" s="107">
        <v>288.10000000000002</v>
      </c>
      <c r="X369" s="19">
        <v>0</v>
      </c>
      <c r="Y369" s="18">
        <f t="shared" si="609"/>
        <v>1351.1</v>
      </c>
      <c r="Z369" s="19">
        <v>0</v>
      </c>
      <c r="AA369" s="19">
        <v>0</v>
      </c>
      <c r="AB369" s="154">
        <f>274.3+1729.2-652.4</f>
        <v>1351.1</v>
      </c>
      <c r="AC369" s="19">
        <v>0</v>
      </c>
      <c r="AD369" s="18">
        <f t="shared" si="610"/>
        <v>285.3</v>
      </c>
      <c r="AE369" s="19">
        <v>0</v>
      </c>
      <c r="AF369" s="19">
        <v>0</v>
      </c>
      <c r="AG369" s="108">
        <v>285.3</v>
      </c>
      <c r="AH369" s="19">
        <v>0</v>
      </c>
      <c r="AI369" s="18">
        <f t="shared" si="611"/>
        <v>296.7</v>
      </c>
      <c r="AJ369" s="19">
        <v>0</v>
      </c>
      <c r="AK369" s="19">
        <v>0</v>
      </c>
      <c r="AL369" s="108">
        <v>296.7</v>
      </c>
      <c r="AM369" s="19">
        <v>0</v>
      </c>
    </row>
    <row r="370" spans="1:39" s="2" customFormat="1" ht="78.75" outlineLevel="3" x14ac:dyDescent="0.25">
      <c r="A370" s="8" t="s">
        <v>222</v>
      </c>
      <c r="B370" s="33" t="s">
        <v>65</v>
      </c>
      <c r="C370" s="26" t="s">
        <v>376</v>
      </c>
      <c r="D370" s="26" t="s">
        <v>118</v>
      </c>
      <c r="E370" s="20">
        <f t="shared" si="603"/>
        <v>1338.5</v>
      </c>
      <c r="F370" s="38">
        <f t="shared" si="604"/>
        <v>0</v>
      </c>
      <c r="G370" s="38">
        <f t="shared" si="612"/>
        <v>0</v>
      </c>
      <c r="H370" s="38">
        <f t="shared" ref="H370:H383" si="613">M370+R370+W370+AB370+AG370+AL370</f>
        <v>1338.5</v>
      </c>
      <c r="I370" s="38">
        <f t="shared" si="605"/>
        <v>0</v>
      </c>
      <c r="J370" s="18">
        <f t="shared" si="606"/>
        <v>208</v>
      </c>
      <c r="K370" s="19">
        <v>0</v>
      </c>
      <c r="L370" s="19">
        <v>0</v>
      </c>
      <c r="M370" s="19">
        <v>208</v>
      </c>
      <c r="N370" s="19">
        <v>0</v>
      </c>
      <c r="O370" s="18">
        <f t="shared" si="607"/>
        <v>216.8</v>
      </c>
      <c r="P370" s="19">
        <v>0</v>
      </c>
      <c r="Q370" s="19">
        <v>0</v>
      </c>
      <c r="R370" s="19">
        <v>216.8</v>
      </c>
      <c r="S370" s="19">
        <v>0</v>
      </c>
      <c r="T370" s="18">
        <f t="shared" si="608"/>
        <v>222.5</v>
      </c>
      <c r="U370" s="19">
        <v>0</v>
      </c>
      <c r="V370" s="19">
        <v>0</v>
      </c>
      <c r="W370" s="107">
        <v>222.5</v>
      </c>
      <c r="X370" s="19">
        <v>0</v>
      </c>
      <c r="Y370" s="18">
        <f t="shared" si="609"/>
        <v>221.4</v>
      </c>
      <c r="Z370" s="19">
        <v>0</v>
      </c>
      <c r="AA370" s="19">
        <v>0</v>
      </c>
      <c r="AB370" s="154">
        <v>221.4</v>
      </c>
      <c r="AC370" s="19">
        <v>0</v>
      </c>
      <c r="AD370" s="18">
        <f t="shared" si="610"/>
        <v>230.3</v>
      </c>
      <c r="AE370" s="19">
        <v>0</v>
      </c>
      <c r="AF370" s="19">
        <v>0</v>
      </c>
      <c r="AG370" s="108">
        <v>230.3</v>
      </c>
      <c r="AH370" s="19">
        <v>0</v>
      </c>
      <c r="AI370" s="18">
        <f t="shared" si="611"/>
        <v>239.5</v>
      </c>
      <c r="AJ370" s="19">
        <v>0</v>
      </c>
      <c r="AK370" s="19">
        <v>0</v>
      </c>
      <c r="AL370" s="108">
        <v>239.5</v>
      </c>
      <c r="AM370" s="19">
        <v>0</v>
      </c>
    </row>
    <row r="371" spans="1:39" s="2" customFormat="1" ht="78.75" outlineLevel="3" x14ac:dyDescent="0.25">
      <c r="A371" s="8" t="s">
        <v>223</v>
      </c>
      <c r="B371" s="33" t="s">
        <v>51</v>
      </c>
      <c r="C371" s="26" t="s">
        <v>376</v>
      </c>
      <c r="D371" s="26" t="s">
        <v>118</v>
      </c>
      <c r="E371" s="20">
        <f t="shared" si="603"/>
        <v>1205.7</v>
      </c>
      <c r="F371" s="38">
        <f t="shared" si="604"/>
        <v>0</v>
      </c>
      <c r="G371" s="38">
        <f t="shared" si="612"/>
        <v>0</v>
      </c>
      <c r="H371" s="38">
        <f t="shared" si="613"/>
        <v>1205.7</v>
      </c>
      <c r="I371" s="38">
        <f t="shared" si="605"/>
        <v>0</v>
      </c>
      <c r="J371" s="18">
        <f t="shared" si="606"/>
        <v>302</v>
      </c>
      <c r="K371" s="19">
        <v>0</v>
      </c>
      <c r="L371" s="19">
        <v>0</v>
      </c>
      <c r="M371" s="19">
        <f>152+150</f>
        <v>302</v>
      </c>
      <c r="N371" s="19">
        <v>0</v>
      </c>
      <c r="O371" s="18">
        <f t="shared" si="607"/>
        <v>159.6</v>
      </c>
      <c r="P371" s="19">
        <v>0</v>
      </c>
      <c r="Q371" s="19">
        <v>0</v>
      </c>
      <c r="R371" s="19">
        <v>159.6</v>
      </c>
      <c r="S371" s="19">
        <v>0</v>
      </c>
      <c r="T371" s="18">
        <f t="shared" si="608"/>
        <v>260.3</v>
      </c>
      <c r="U371" s="19">
        <v>0</v>
      </c>
      <c r="V371" s="19">
        <v>0</v>
      </c>
      <c r="W371" s="107">
        <f>162+98.3</f>
        <v>260.3</v>
      </c>
      <c r="X371" s="19">
        <v>0</v>
      </c>
      <c r="Y371" s="18">
        <f t="shared" si="609"/>
        <v>155</v>
      </c>
      <c r="Z371" s="19">
        <v>0</v>
      </c>
      <c r="AA371" s="19">
        <v>0</v>
      </c>
      <c r="AB371" s="154">
        <v>155</v>
      </c>
      <c r="AC371" s="19">
        <v>0</v>
      </c>
      <c r="AD371" s="18">
        <f t="shared" si="610"/>
        <v>161.19999999999999</v>
      </c>
      <c r="AE371" s="19">
        <v>0</v>
      </c>
      <c r="AF371" s="19">
        <v>0</v>
      </c>
      <c r="AG371" s="108">
        <v>161.19999999999999</v>
      </c>
      <c r="AH371" s="19">
        <v>0</v>
      </c>
      <c r="AI371" s="18">
        <f t="shared" si="611"/>
        <v>167.6</v>
      </c>
      <c r="AJ371" s="19">
        <v>0</v>
      </c>
      <c r="AK371" s="19">
        <v>0</v>
      </c>
      <c r="AL371" s="108">
        <v>167.6</v>
      </c>
      <c r="AM371" s="19">
        <v>0</v>
      </c>
    </row>
    <row r="372" spans="1:39" s="2" customFormat="1" ht="78.75" outlineLevel="3" x14ac:dyDescent="0.25">
      <c r="A372" s="8" t="s">
        <v>224</v>
      </c>
      <c r="B372" s="33" t="s">
        <v>52</v>
      </c>
      <c r="C372" s="26" t="s">
        <v>376</v>
      </c>
      <c r="D372" s="26" t="s">
        <v>118</v>
      </c>
      <c r="E372" s="20">
        <f t="shared" si="603"/>
        <v>3482.8</v>
      </c>
      <c r="F372" s="38">
        <f t="shared" si="604"/>
        <v>0</v>
      </c>
      <c r="G372" s="38">
        <f t="shared" si="612"/>
        <v>0</v>
      </c>
      <c r="H372" s="38">
        <f t="shared" si="613"/>
        <v>3482.8</v>
      </c>
      <c r="I372" s="38">
        <f t="shared" si="605"/>
        <v>0</v>
      </c>
      <c r="J372" s="18">
        <f t="shared" si="606"/>
        <v>399.5</v>
      </c>
      <c r="K372" s="19">
        <v>0</v>
      </c>
      <c r="L372" s="19">
        <v>0</v>
      </c>
      <c r="M372" s="19">
        <v>399.5</v>
      </c>
      <c r="N372" s="19">
        <v>0</v>
      </c>
      <c r="O372" s="18">
        <f t="shared" si="607"/>
        <v>424.8</v>
      </c>
      <c r="P372" s="19">
        <v>0</v>
      </c>
      <c r="Q372" s="19">
        <v>0</v>
      </c>
      <c r="R372" s="19">
        <v>424.8</v>
      </c>
      <c r="S372" s="19">
        <v>0</v>
      </c>
      <c r="T372" s="18">
        <f t="shared" si="608"/>
        <v>416.8</v>
      </c>
      <c r="U372" s="19">
        <v>0</v>
      </c>
      <c r="V372" s="19">
        <v>0</v>
      </c>
      <c r="W372" s="107">
        <v>416.8</v>
      </c>
      <c r="X372" s="19">
        <v>0</v>
      </c>
      <c r="Y372" s="18">
        <f t="shared" si="609"/>
        <v>1391.4</v>
      </c>
      <c r="Z372" s="19">
        <v>0</v>
      </c>
      <c r="AA372" s="19">
        <v>0</v>
      </c>
      <c r="AB372" s="154">
        <f>400.8+990.6</f>
        <v>1391.4</v>
      </c>
      <c r="AC372" s="19">
        <v>0</v>
      </c>
      <c r="AD372" s="18">
        <f t="shared" si="610"/>
        <v>416.8</v>
      </c>
      <c r="AE372" s="19">
        <v>0</v>
      </c>
      <c r="AF372" s="19">
        <v>0</v>
      </c>
      <c r="AG372" s="108">
        <v>416.8</v>
      </c>
      <c r="AH372" s="19">
        <v>0</v>
      </c>
      <c r="AI372" s="18">
        <f t="shared" si="611"/>
        <v>433.5</v>
      </c>
      <c r="AJ372" s="19">
        <v>0</v>
      </c>
      <c r="AK372" s="19">
        <v>0</v>
      </c>
      <c r="AL372" s="108">
        <v>433.5</v>
      </c>
      <c r="AM372" s="19">
        <v>0</v>
      </c>
    </row>
    <row r="373" spans="1:39" s="2" customFormat="1" ht="78.75" outlineLevel="3" x14ac:dyDescent="0.25">
      <c r="A373" s="8" t="s">
        <v>225</v>
      </c>
      <c r="B373" s="33" t="s">
        <v>64</v>
      </c>
      <c r="C373" s="26" t="s">
        <v>376</v>
      </c>
      <c r="D373" s="26" t="s">
        <v>118</v>
      </c>
      <c r="E373" s="20">
        <f t="shared" si="603"/>
        <v>2820.9999999999995</v>
      </c>
      <c r="F373" s="38">
        <f t="shared" si="604"/>
        <v>0</v>
      </c>
      <c r="G373" s="38">
        <f t="shared" si="612"/>
        <v>0</v>
      </c>
      <c r="H373" s="38">
        <f t="shared" si="613"/>
        <v>2820.9999999999995</v>
      </c>
      <c r="I373" s="38">
        <f t="shared" si="605"/>
        <v>0</v>
      </c>
      <c r="J373" s="18">
        <f t="shared" si="606"/>
        <v>399.5</v>
      </c>
      <c r="K373" s="19">
        <v>0</v>
      </c>
      <c r="L373" s="19">
        <v>0</v>
      </c>
      <c r="M373" s="19">
        <v>399.5</v>
      </c>
      <c r="N373" s="19">
        <v>0</v>
      </c>
      <c r="O373" s="18">
        <f t="shared" si="607"/>
        <v>418.6</v>
      </c>
      <c r="P373" s="19">
        <v>0</v>
      </c>
      <c r="Q373" s="19">
        <v>0</v>
      </c>
      <c r="R373" s="19">
        <v>418.6</v>
      </c>
      <c r="S373" s="19">
        <v>0</v>
      </c>
      <c r="T373" s="18">
        <f t="shared" si="608"/>
        <v>409.5</v>
      </c>
      <c r="U373" s="19">
        <v>0</v>
      </c>
      <c r="V373" s="19">
        <v>0</v>
      </c>
      <c r="W373" s="107">
        <v>409.5</v>
      </c>
      <c r="X373" s="19">
        <v>0</v>
      </c>
      <c r="Y373" s="18">
        <f t="shared" si="609"/>
        <v>721.09999999999991</v>
      </c>
      <c r="Z373" s="19">
        <v>0</v>
      </c>
      <c r="AA373" s="19">
        <v>0</v>
      </c>
      <c r="AB373" s="154">
        <f>411.2+309.9</f>
        <v>721.09999999999991</v>
      </c>
      <c r="AC373" s="19">
        <v>0</v>
      </c>
      <c r="AD373" s="18">
        <f t="shared" si="610"/>
        <v>427.6</v>
      </c>
      <c r="AE373" s="19">
        <v>0</v>
      </c>
      <c r="AF373" s="19">
        <v>0</v>
      </c>
      <c r="AG373" s="108">
        <v>427.6</v>
      </c>
      <c r="AH373" s="19">
        <v>0</v>
      </c>
      <c r="AI373" s="18">
        <f t="shared" si="611"/>
        <v>444.7</v>
      </c>
      <c r="AJ373" s="19">
        <v>0</v>
      </c>
      <c r="AK373" s="19">
        <v>0</v>
      </c>
      <c r="AL373" s="108">
        <v>444.7</v>
      </c>
      <c r="AM373" s="19">
        <v>0</v>
      </c>
    </row>
    <row r="374" spans="1:39" s="2" customFormat="1" ht="78.75" outlineLevel="3" x14ac:dyDescent="0.25">
      <c r="A374" s="8" t="s">
        <v>226</v>
      </c>
      <c r="B374" s="33" t="s">
        <v>53</v>
      </c>
      <c r="C374" s="26" t="s">
        <v>376</v>
      </c>
      <c r="D374" s="26" t="s">
        <v>118</v>
      </c>
      <c r="E374" s="20">
        <f t="shared" si="603"/>
        <v>4910.4000000000005</v>
      </c>
      <c r="F374" s="38">
        <f t="shared" si="604"/>
        <v>0</v>
      </c>
      <c r="G374" s="38">
        <f t="shared" si="612"/>
        <v>0</v>
      </c>
      <c r="H374" s="38">
        <f t="shared" si="613"/>
        <v>4910.4000000000005</v>
      </c>
      <c r="I374" s="38">
        <f t="shared" si="605"/>
        <v>0</v>
      </c>
      <c r="J374" s="18">
        <f t="shared" si="606"/>
        <v>434</v>
      </c>
      <c r="K374" s="19">
        <v>0</v>
      </c>
      <c r="L374" s="19">
        <v>0</v>
      </c>
      <c r="M374" s="19">
        <v>434</v>
      </c>
      <c r="N374" s="19">
        <v>0</v>
      </c>
      <c r="O374" s="18">
        <f t="shared" si="607"/>
        <v>438.9</v>
      </c>
      <c r="P374" s="19">
        <v>0</v>
      </c>
      <c r="Q374" s="19">
        <v>0</v>
      </c>
      <c r="R374" s="19">
        <v>438.9</v>
      </c>
      <c r="S374" s="19">
        <v>0</v>
      </c>
      <c r="T374" s="18">
        <f t="shared" si="608"/>
        <v>422.5</v>
      </c>
      <c r="U374" s="19">
        <v>0</v>
      </c>
      <c r="V374" s="19">
        <v>0</v>
      </c>
      <c r="W374" s="107">
        <v>422.5</v>
      </c>
      <c r="X374" s="19">
        <v>0</v>
      </c>
      <c r="Y374" s="18">
        <f t="shared" si="609"/>
        <v>2737</v>
      </c>
      <c r="Z374" s="19">
        <v>0</v>
      </c>
      <c r="AA374" s="19">
        <v>0</v>
      </c>
      <c r="AB374" s="156">
        <f>413.8+2323.2</f>
        <v>2737</v>
      </c>
      <c r="AC374" s="19">
        <v>0</v>
      </c>
      <c r="AD374" s="18">
        <f t="shared" si="610"/>
        <v>430.4</v>
      </c>
      <c r="AE374" s="19">
        <v>0</v>
      </c>
      <c r="AF374" s="19">
        <v>0</v>
      </c>
      <c r="AG374" s="108">
        <v>430.4</v>
      </c>
      <c r="AH374" s="19">
        <v>0</v>
      </c>
      <c r="AI374" s="18">
        <f t="shared" si="611"/>
        <v>447.6</v>
      </c>
      <c r="AJ374" s="19">
        <v>0</v>
      </c>
      <c r="AK374" s="19">
        <v>0</v>
      </c>
      <c r="AL374" s="108">
        <v>447.6</v>
      </c>
      <c r="AM374" s="19">
        <v>0</v>
      </c>
    </row>
    <row r="375" spans="1:39" s="2" customFormat="1" ht="78.75" outlineLevel="3" x14ac:dyDescent="0.25">
      <c r="A375" s="8" t="s">
        <v>227</v>
      </c>
      <c r="B375" s="33" t="s">
        <v>63</v>
      </c>
      <c r="C375" s="26" t="s">
        <v>376</v>
      </c>
      <c r="D375" s="26" t="s">
        <v>118</v>
      </c>
      <c r="E375" s="20">
        <f t="shared" si="603"/>
        <v>1603.2</v>
      </c>
      <c r="F375" s="38">
        <f t="shared" si="604"/>
        <v>0</v>
      </c>
      <c r="G375" s="38">
        <f t="shared" si="612"/>
        <v>0</v>
      </c>
      <c r="H375" s="38">
        <f t="shared" si="613"/>
        <v>1603.2</v>
      </c>
      <c r="I375" s="38">
        <f t="shared" si="605"/>
        <v>0</v>
      </c>
      <c r="J375" s="18">
        <f t="shared" si="606"/>
        <v>143.6</v>
      </c>
      <c r="K375" s="19">
        <v>0</v>
      </c>
      <c r="L375" s="19">
        <v>0</v>
      </c>
      <c r="M375" s="19">
        <f>274-130.4</f>
        <v>143.6</v>
      </c>
      <c r="N375" s="19">
        <v>0</v>
      </c>
      <c r="O375" s="18">
        <f t="shared" si="607"/>
        <v>300</v>
      </c>
      <c r="P375" s="19">
        <v>0</v>
      </c>
      <c r="Q375" s="19">
        <v>0</v>
      </c>
      <c r="R375" s="19">
        <v>300</v>
      </c>
      <c r="S375" s="19">
        <v>0</v>
      </c>
      <c r="T375" s="18">
        <f t="shared" si="608"/>
        <v>298</v>
      </c>
      <c r="U375" s="19">
        <v>0</v>
      </c>
      <c r="V375" s="19">
        <v>0</v>
      </c>
      <c r="W375" s="107">
        <v>298</v>
      </c>
      <c r="X375" s="19">
        <v>0</v>
      </c>
      <c r="Y375" s="18">
        <f t="shared" si="609"/>
        <v>232.3</v>
      </c>
      <c r="Z375" s="19">
        <v>0</v>
      </c>
      <c r="AA375" s="19">
        <v>0</v>
      </c>
      <c r="AB375" s="154">
        <f>296.6-64.3</f>
        <v>232.3</v>
      </c>
      <c r="AC375" s="19">
        <v>0</v>
      </c>
      <c r="AD375" s="18">
        <f t="shared" si="610"/>
        <v>308.5</v>
      </c>
      <c r="AE375" s="19">
        <v>0</v>
      </c>
      <c r="AF375" s="19">
        <v>0</v>
      </c>
      <c r="AG375" s="108">
        <v>308.5</v>
      </c>
      <c r="AH375" s="19">
        <v>0</v>
      </c>
      <c r="AI375" s="18">
        <f t="shared" si="611"/>
        <v>320.8</v>
      </c>
      <c r="AJ375" s="19">
        <v>0</v>
      </c>
      <c r="AK375" s="19">
        <v>0</v>
      </c>
      <c r="AL375" s="108">
        <v>320.8</v>
      </c>
      <c r="AM375" s="19">
        <v>0</v>
      </c>
    </row>
    <row r="376" spans="1:39" s="2" customFormat="1" ht="78.75" outlineLevel="3" x14ac:dyDescent="0.25">
      <c r="A376" s="8" t="s">
        <v>228</v>
      </c>
      <c r="B376" s="33" t="s">
        <v>62</v>
      </c>
      <c r="C376" s="26" t="s">
        <v>376</v>
      </c>
      <c r="D376" s="26" t="s">
        <v>118</v>
      </c>
      <c r="E376" s="20">
        <f t="shared" si="603"/>
        <v>16122.9</v>
      </c>
      <c r="F376" s="38">
        <f t="shared" si="604"/>
        <v>0</v>
      </c>
      <c r="G376" s="38">
        <f t="shared" si="612"/>
        <v>0</v>
      </c>
      <c r="H376" s="38">
        <f t="shared" si="613"/>
        <v>16122.9</v>
      </c>
      <c r="I376" s="38">
        <f t="shared" si="605"/>
        <v>0</v>
      </c>
      <c r="J376" s="18">
        <f t="shared" si="606"/>
        <v>1181.5</v>
      </c>
      <c r="K376" s="19">
        <v>0</v>
      </c>
      <c r="L376" s="19">
        <v>0</v>
      </c>
      <c r="M376" s="19">
        <f>400+781.5</f>
        <v>1181.5</v>
      </c>
      <c r="N376" s="19">
        <v>0</v>
      </c>
      <c r="O376" s="18">
        <f t="shared" si="607"/>
        <v>813.8</v>
      </c>
      <c r="P376" s="19">
        <v>0</v>
      </c>
      <c r="Q376" s="19">
        <v>0</v>
      </c>
      <c r="R376" s="19">
        <v>813.8</v>
      </c>
      <c r="S376" s="19">
        <v>0</v>
      </c>
      <c r="T376" s="18">
        <f t="shared" si="608"/>
        <v>2205.3000000000002</v>
      </c>
      <c r="U376" s="19">
        <v>0</v>
      </c>
      <c r="V376" s="19">
        <v>0</v>
      </c>
      <c r="W376" s="107">
        <f>809.1+764.6+631.6</f>
        <v>2205.3000000000002</v>
      </c>
      <c r="X376" s="19">
        <v>0</v>
      </c>
      <c r="Y376" s="18">
        <f t="shared" si="609"/>
        <v>10245.799999999999</v>
      </c>
      <c r="Z376" s="19">
        <v>0</v>
      </c>
      <c r="AA376" s="19">
        <v>0</v>
      </c>
      <c r="AB376" s="154">
        <f>790.2+4515.6+4940</f>
        <v>10245.799999999999</v>
      </c>
      <c r="AC376" s="19">
        <v>0</v>
      </c>
      <c r="AD376" s="18">
        <f t="shared" si="610"/>
        <v>821.8</v>
      </c>
      <c r="AE376" s="19">
        <v>0</v>
      </c>
      <c r="AF376" s="19">
        <v>0</v>
      </c>
      <c r="AG376" s="108">
        <v>821.8</v>
      </c>
      <c r="AH376" s="19">
        <v>0</v>
      </c>
      <c r="AI376" s="18">
        <f t="shared" si="611"/>
        <v>854.7</v>
      </c>
      <c r="AJ376" s="19">
        <v>0</v>
      </c>
      <c r="AK376" s="19">
        <v>0</v>
      </c>
      <c r="AL376" s="108">
        <v>854.7</v>
      </c>
      <c r="AM376" s="19">
        <v>0</v>
      </c>
    </row>
    <row r="377" spans="1:39" s="2" customFormat="1" ht="78.75" outlineLevel="3" x14ac:dyDescent="0.25">
      <c r="A377" s="8" t="s">
        <v>229</v>
      </c>
      <c r="B377" s="33" t="s">
        <v>60</v>
      </c>
      <c r="C377" s="26" t="s">
        <v>376</v>
      </c>
      <c r="D377" s="26" t="s">
        <v>118</v>
      </c>
      <c r="E377" s="20">
        <f t="shared" si="603"/>
        <v>1774.7</v>
      </c>
      <c r="F377" s="38">
        <f t="shared" si="604"/>
        <v>0</v>
      </c>
      <c r="G377" s="38">
        <f t="shared" si="612"/>
        <v>0</v>
      </c>
      <c r="H377" s="38">
        <f t="shared" si="613"/>
        <v>1774.7</v>
      </c>
      <c r="I377" s="38">
        <f t="shared" si="605"/>
        <v>0</v>
      </c>
      <c r="J377" s="18">
        <f t="shared" si="606"/>
        <v>299.5</v>
      </c>
      <c r="K377" s="19">
        <v>0</v>
      </c>
      <c r="L377" s="19">
        <v>0</v>
      </c>
      <c r="M377" s="19">
        <v>299.5</v>
      </c>
      <c r="N377" s="19">
        <v>0</v>
      </c>
      <c r="O377" s="18">
        <f t="shared" si="607"/>
        <v>299</v>
      </c>
      <c r="P377" s="19">
        <v>0</v>
      </c>
      <c r="Q377" s="19">
        <v>0</v>
      </c>
      <c r="R377" s="19">
        <v>299</v>
      </c>
      <c r="S377" s="19">
        <v>0</v>
      </c>
      <c r="T377" s="18">
        <f t="shared" si="608"/>
        <v>303.7</v>
      </c>
      <c r="U377" s="19">
        <v>0</v>
      </c>
      <c r="V377" s="19">
        <v>0</v>
      </c>
      <c r="W377" s="107">
        <v>303.7</v>
      </c>
      <c r="X377" s="19">
        <v>0</v>
      </c>
      <c r="Y377" s="18">
        <f t="shared" si="609"/>
        <v>279.5</v>
      </c>
      <c r="Z377" s="19">
        <v>0</v>
      </c>
      <c r="AA377" s="19">
        <v>0</v>
      </c>
      <c r="AB377" s="154">
        <v>279.5</v>
      </c>
      <c r="AC377" s="19">
        <v>0</v>
      </c>
      <c r="AD377" s="18">
        <f t="shared" si="610"/>
        <v>290.7</v>
      </c>
      <c r="AE377" s="19">
        <v>0</v>
      </c>
      <c r="AF377" s="19">
        <v>0</v>
      </c>
      <c r="AG377" s="108">
        <v>290.7</v>
      </c>
      <c r="AH377" s="19">
        <v>0</v>
      </c>
      <c r="AI377" s="18">
        <f t="shared" si="611"/>
        <v>302.3</v>
      </c>
      <c r="AJ377" s="19">
        <v>0</v>
      </c>
      <c r="AK377" s="19">
        <v>0</v>
      </c>
      <c r="AL377" s="108">
        <v>302.3</v>
      </c>
      <c r="AM377" s="19">
        <v>0</v>
      </c>
    </row>
    <row r="378" spans="1:39" s="2" customFormat="1" ht="78.75" outlineLevel="3" x14ac:dyDescent="0.25">
      <c r="A378" s="8" t="s">
        <v>230</v>
      </c>
      <c r="B378" s="33" t="s">
        <v>61</v>
      </c>
      <c r="C378" s="26" t="s">
        <v>376</v>
      </c>
      <c r="D378" s="26" t="s">
        <v>118</v>
      </c>
      <c r="E378" s="20">
        <f t="shared" si="603"/>
        <v>2234.6</v>
      </c>
      <c r="F378" s="38">
        <f t="shared" si="604"/>
        <v>0</v>
      </c>
      <c r="G378" s="38">
        <f t="shared" si="612"/>
        <v>0</v>
      </c>
      <c r="H378" s="38">
        <f t="shared" si="613"/>
        <v>2234.6</v>
      </c>
      <c r="I378" s="38">
        <f t="shared" si="605"/>
        <v>0</v>
      </c>
      <c r="J378" s="18">
        <f t="shared" si="606"/>
        <v>653.29999999999995</v>
      </c>
      <c r="K378" s="19">
        <v>0</v>
      </c>
      <c r="L378" s="19">
        <v>0</v>
      </c>
      <c r="M378" s="19">
        <f>289.5+363.8</f>
        <v>653.29999999999995</v>
      </c>
      <c r="N378" s="19">
        <v>0</v>
      </c>
      <c r="O378" s="18">
        <f t="shared" si="607"/>
        <v>314.10000000000002</v>
      </c>
      <c r="P378" s="19">
        <v>0</v>
      </c>
      <c r="Q378" s="19">
        <v>0</v>
      </c>
      <c r="R378" s="19">
        <v>314.10000000000002</v>
      </c>
      <c r="S378" s="19">
        <v>0</v>
      </c>
      <c r="T378" s="18">
        <f t="shared" si="608"/>
        <v>304.3</v>
      </c>
      <c r="U378" s="19">
        <v>0</v>
      </c>
      <c r="V378" s="19">
        <v>0</v>
      </c>
      <c r="W378" s="107">
        <v>304.3</v>
      </c>
      <c r="X378" s="19">
        <v>0</v>
      </c>
      <c r="Y378" s="18">
        <f t="shared" si="609"/>
        <v>308.5</v>
      </c>
      <c r="Z378" s="19">
        <v>0</v>
      </c>
      <c r="AA378" s="19">
        <v>0</v>
      </c>
      <c r="AB378" s="154">
        <v>308.5</v>
      </c>
      <c r="AC378" s="19">
        <v>0</v>
      </c>
      <c r="AD378" s="18">
        <f t="shared" si="610"/>
        <v>320.8</v>
      </c>
      <c r="AE378" s="19">
        <v>0</v>
      </c>
      <c r="AF378" s="19">
        <v>0</v>
      </c>
      <c r="AG378" s="108">
        <v>320.8</v>
      </c>
      <c r="AH378" s="19">
        <v>0</v>
      </c>
      <c r="AI378" s="18">
        <f t="shared" si="611"/>
        <v>333.6</v>
      </c>
      <c r="AJ378" s="19">
        <v>0</v>
      </c>
      <c r="AK378" s="19">
        <v>0</v>
      </c>
      <c r="AL378" s="108">
        <v>333.6</v>
      </c>
      <c r="AM378" s="19">
        <v>0</v>
      </c>
    </row>
    <row r="379" spans="1:39" s="2" customFormat="1" ht="78.75" outlineLevel="3" x14ac:dyDescent="0.25">
      <c r="A379" s="8" t="s">
        <v>231</v>
      </c>
      <c r="B379" s="33" t="s">
        <v>54</v>
      </c>
      <c r="C379" s="26" t="s">
        <v>376</v>
      </c>
      <c r="D379" s="26" t="s">
        <v>118</v>
      </c>
      <c r="E379" s="20">
        <f t="shared" si="603"/>
        <v>5098.4999999999991</v>
      </c>
      <c r="F379" s="38">
        <f t="shared" si="604"/>
        <v>0</v>
      </c>
      <c r="G379" s="38">
        <f t="shared" si="612"/>
        <v>0</v>
      </c>
      <c r="H379" s="38">
        <f t="shared" si="613"/>
        <v>5098.4999999999991</v>
      </c>
      <c r="I379" s="38">
        <f t="shared" si="605"/>
        <v>0</v>
      </c>
      <c r="J379" s="18">
        <f t="shared" si="606"/>
        <v>372.5</v>
      </c>
      <c r="K379" s="19">
        <v>0</v>
      </c>
      <c r="L379" s="19">
        <v>0</v>
      </c>
      <c r="M379" s="19">
        <v>372.5</v>
      </c>
      <c r="N379" s="19">
        <v>0</v>
      </c>
      <c r="O379" s="18">
        <f t="shared" si="607"/>
        <v>1214</v>
      </c>
      <c r="P379" s="19">
        <v>0</v>
      </c>
      <c r="Q379" s="19">
        <v>0</v>
      </c>
      <c r="R379" s="19">
        <f>378+836</f>
        <v>1214</v>
      </c>
      <c r="S379" s="19">
        <v>0</v>
      </c>
      <c r="T379" s="18">
        <f t="shared" si="608"/>
        <v>369.9</v>
      </c>
      <c r="U379" s="19">
        <v>0</v>
      </c>
      <c r="V379" s="19">
        <v>0</v>
      </c>
      <c r="W379" s="107">
        <v>369.9</v>
      </c>
      <c r="X379" s="19">
        <v>0</v>
      </c>
      <c r="Y379" s="18">
        <f t="shared" si="609"/>
        <v>2365.5</v>
      </c>
      <c r="Z379" s="19">
        <v>0</v>
      </c>
      <c r="AA379" s="19">
        <v>0</v>
      </c>
      <c r="AB379" s="154">
        <f>366.1+1286+713.4</f>
        <v>2365.5</v>
      </c>
      <c r="AC379" s="19">
        <v>0</v>
      </c>
      <c r="AD379" s="18">
        <f t="shared" si="610"/>
        <v>380.7</v>
      </c>
      <c r="AE379" s="19">
        <v>0</v>
      </c>
      <c r="AF379" s="19">
        <v>0</v>
      </c>
      <c r="AG379" s="108">
        <v>380.7</v>
      </c>
      <c r="AH379" s="19">
        <v>0</v>
      </c>
      <c r="AI379" s="18">
        <f t="shared" si="611"/>
        <v>395.9</v>
      </c>
      <c r="AJ379" s="19">
        <v>0</v>
      </c>
      <c r="AK379" s="19">
        <v>0</v>
      </c>
      <c r="AL379" s="108">
        <v>395.9</v>
      </c>
      <c r="AM379" s="19">
        <v>0</v>
      </c>
    </row>
    <row r="380" spans="1:39" s="2" customFormat="1" ht="78.75" outlineLevel="3" x14ac:dyDescent="0.25">
      <c r="A380" s="8" t="s">
        <v>232</v>
      </c>
      <c r="B380" s="33" t="s">
        <v>55</v>
      </c>
      <c r="C380" s="26" t="s">
        <v>376</v>
      </c>
      <c r="D380" s="26" t="s">
        <v>118</v>
      </c>
      <c r="E380" s="20">
        <f t="shared" si="603"/>
        <v>3557.6999999999994</v>
      </c>
      <c r="F380" s="38">
        <f t="shared" si="604"/>
        <v>0</v>
      </c>
      <c r="G380" s="38">
        <f t="shared" si="612"/>
        <v>0</v>
      </c>
      <c r="H380" s="38">
        <f t="shared" si="613"/>
        <v>3557.6999999999994</v>
      </c>
      <c r="I380" s="38">
        <f t="shared" si="605"/>
        <v>0</v>
      </c>
      <c r="J380" s="18">
        <f t="shared" si="606"/>
        <v>322.5</v>
      </c>
      <c r="K380" s="19">
        <v>0</v>
      </c>
      <c r="L380" s="19">
        <v>0</v>
      </c>
      <c r="M380" s="19">
        <v>322.5</v>
      </c>
      <c r="N380" s="19">
        <v>0</v>
      </c>
      <c r="O380" s="18">
        <f t="shared" si="607"/>
        <v>338.5</v>
      </c>
      <c r="P380" s="19">
        <v>0</v>
      </c>
      <c r="Q380" s="19">
        <v>0</v>
      </c>
      <c r="R380" s="19">
        <v>338.5</v>
      </c>
      <c r="S380" s="19">
        <v>0</v>
      </c>
      <c r="T380" s="18">
        <f t="shared" si="608"/>
        <v>339.7</v>
      </c>
      <c r="U380" s="19">
        <v>0</v>
      </c>
      <c r="V380" s="19">
        <v>0</v>
      </c>
      <c r="W380" s="107">
        <v>339.7</v>
      </c>
      <c r="X380" s="19">
        <v>0</v>
      </c>
      <c r="Y380" s="18">
        <f t="shared" si="609"/>
        <v>341.69999999999982</v>
      </c>
      <c r="Z380" s="19">
        <v>0</v>
      </c>
      <c r="AA380" s="19">
        <v>0</v>
      </c>
      <c r="AB380" s="154">
        <f>341.7+2127.7-2127.7</f>
        <v>341.69999999999982</v>
      </c>
      <c r="AC380" s="19">
        <v>0</v>
      </c>
      <c r="AD380" s="18">
        <f t="shared" si="610"/>
        <v>1845.6999999999998</v>
      </c>
      <c r="AE380" s="19">
        <v>0</v>
      </c>
      <c r="AF380" s="19">
        <v>0</v>
      </c>
      <c r="AG380" s="108">
        <f>355.4+1490.3</f>
        <v>1845.6999999999998</v>
      </c>
      <c r="AH380" s="19">
        <v>0</v>
      </c>
      <c r="AI380" s="18">
        <f t="shared" si="611"/>
        <v>369.6</v>
      </c>
      <c r="AJ380" s="19">
        <v>0</v>
      </c>
      <c r="AK380" s="19">
        <v>0</v>
      </c>
      <c r="AL380" s="108">
        <v>369.6</v>
      </c>
      <c r="AM380" s="19">
        <v>0</v>
      </c>
    </row>
    <row r="381" spans="1:39" s="2" customFormat="1" ht="78.75" outlineLevel="3" x14ac:dyDescent="0.25">
      <c r="A381" s="8" t="s">
        <v>233</v>
      </c>
      <c r="B381" s="33" t="s">
        <v>56</v>
      </c>
      <c r="C381" s="26" t="s">
        <v>376</v>
      </c>
      <c r="D381" s="26" t="s">
        <v>118</v>
      </c>
      <c r="E381" s="20">
        <f t="shared" si="603"/>
        <v>1344.1000000000001</v>
      </c>
      <c r="F381" s="38">
        <f t="shared" si="604"/>
        <v>0</v>
      </c>
      <c r="G381" s="38">
        <f t="shared" si="612"/>
        <v>0</v>
      </c>
      <c r="H381" s="38">
        <f t="shared" si="613"/>
        <v>1344.1000000000001</v>
      </c>
      <c r="I381" s="38">
        <f t="shared" si="605"/>
        <v>0</v>
      </c>
      <c r="J381" s="18">
        <f t="shared" si="606"/>
        <v>224.5</v>
      </c>
      <c r="K381" s="19">
        <v>0</v>
      </c>
      <c r="L381" s="19">
        <v>0</v>
      </c>
      <c r="M381" s="19">
        <v>224.5</v>
      </c>
      <c r="N381" s="19">
        <v>0</v>
      </c>
      <c r="O381" s="18">
        <f t="shared" si="607"/>
        <v>230.9</v>
      </c>
      <c r="P381" s="19">
        <v>0</v>
      </c>
      <c r="Q381" s="19">
        <v>0</v>
      </c>
      <c r="R381" s="19">
        <v>230.9</v>
      </c>
      <c r="S381" s="19">
        <v>0</v>
      </c>
      <c r="T381" s="18">
        <f t="shared" si="608"/>
        <v>225.1</v>
      </c>
      <c r="U381" s="19">
        <v>0</v>
      </c>
      <c r="V381" s="19">
        <v>0</v>
      </c>
      <c r="W381" s="107">
        <v>225.1</v>
      </c>
      <c r="X381" s="19">
        <v>0</v>
      </c>
      <c r="Y381" s="18">
        <f t="shared" si="609"/>
        <v>212.6</v>
      </c>
      <c r="Z381" s="19">
        <v>0</v>
      </c>
      <c r="AA381" s="19">
        <v>0</v>
      </c>
      <c r="AB381" s="154">
        <v>212.6</v>
      </c>
      <c r="AC381" s="19">
        <v>0</v>
      </c>
      <c r="AD381" s="18">
        <f t="shared" si="610"/>
        <v>221.1</v>
      </c>
      <c r="AE381" s="19">
        <v>0</v>
      </c>
      <c r="AF381" s="19">
        <v>0</v>
      </c>
      <c r="AG381" s="108">
        <v>221.1</v>
      </c>
      <c r="AH381" s="19">
        <v>0</v>
      </c>
      <c r="AI381" s="18">
        <f t="shared" si="611"/>
        <v>229.9</v>
      </c>
      <c r="AJ381" s="19">
        <v>0</v>
      </c>
      <c r="AK381" s="19">
        <v>0</v>
      </c>
      <c r="AL381" s="108">
        <v>229.9</v>
      </c>
      <c r="AM381" s="19">
        <v>0</v>
      </c>
    </row>
    <row r="382" spans="1:39" s="2" customFormat="1" ht="78.75" outlineLevel="3" x14ac:dyDescent="0.25">
      <c r="A382" s="8" t="s">
        <v>234</v>
      </c>
      <c r="B382" s="33" t="s">
        <v>57</v>
      </c>
      <c r="C382" s="26" t="s">
        <v>376</v>
      </c>
      <c r="D382" s="26" t="s">
        <v>118</v>
      </c>
      <c r="E382" s="20">
        <f t="shared" si="603"/>
        <v>6610.8</v>
      </c>
      <c r="F382" s="38">
        <f t="shared" si="604"/>
        <v>0</v>
      </c>
      <c r="G382" s="38">
        <f t="shared" si="612"/>
        <v>0</v>
      </c>
      <c r="H382" s="38">
        <f t="shared" si="613"/>
        <v>6610.8</v>
      </c>
      <c r="I382" s="38">
        <f t="shared" si="605"/>
        <v>0</v>
      </c>
      <c r="J382" s="18">
        <f t="shared" si="606"/>
        <v>161</v>
      </c>
      <c r="K382" s="19">
        <v>0</v>
      </c>
      <c r="L382" s="19">
        <v>0</v>
      </c>
      <c r="M382" s="19">
        <v>161</v>
      </c>
      <c r="N382" s="19">
        <v>0</v>
      </c>
      <c r="O382" s="18">
        <f t="shared" si="607"/>
        <v>164.8</v>
      </c>
      <c r="P382" s="19">
        <v>0</v>
      </c>
      <c r="Q382" s="19">
        <v>0</v>
      </c>
      <c r="R382" s="19">
        <v>164.8</v>
      </c>
      <c r="S382" s="19">
        <v>0</v>
      </c>
      <c r="T382" s="18">
        <f t="shared" si="608"/>
        <v>2936</v>
      </c>
      <c r="U382" s="19">
        <v>0</v>
      </c>
      <c r="V382" s="19">
        <v>0</v>
      </c>
      <c r="W382" s="107">
        <v>2936</v>
      </c>
      <c r="X382" s="19">
        <v>0</v>
      </c>
      <c r="Y382" s="18">
        <f t="shared" si="609"/>
        <v>3003.6</v>
      </c>
      <c r="Z382" s="19">
        <v>0</v>
      </c>
      <c r="AA382" s="19">
        <v>0</v>
      </c>
      <c r="AB382" s="154">
        <f>162.8+2959.2-118.4</f>
        <v>3003.6</v>
      </c>
      <c r="AC382" s="19">
        <v>0</v>
      </c>
      <c r="AD382" s="18">
        <f t="shared" si="610"/>
        <v>169.3</v>
      </c>
      <c r="AE382" s="19">
        <v>0</v>
      </c>
      <c r="AF382" s="19">
        <v>0</v>
      </c>
      <c r="AG382" s="108">
        <v>169.3</v>
      </c>
      <c r="AH382" s="19">
        <v>0</v>
      </c>
      <c r="AI382" s="18">
        <f t="shared" si="611"/>
        <v>176.1</v>
      </c>
      <c r="AJ382" s="19">
        <v>0</v>
      </c>
      <c r="AK382" s="19">
        <v>0</v>
      </c>
      <c r="AL382" s="108">
        <v>176.1</v>
      </c>
      <c r="AM382" s="19">
        <v>0</v>
      </c>
    </row>
    <row r="383" spans="1:39" s="2" customFormat="1" ht="78.75" outlineLevel="3" x14ac:dyDescent="0.25">
      <c r="A383" s="8" t="s">
        <v>235</v>
      </c>
      <c r="B383" s="33" t="s">
        <v>58</v>
      </c>
      <c r="C383" s="26" t="s">
        <v>376</v>
      </c>
      <c r="D383" s="26" t="s">
        <v>118</v>
      </c>
      <c r="E383" s="20">
        <f t="shared" si="603"/>
        <v>2530.9</v>
      </c>
      <c r="F383" s="38">
        <f t="shared" si="604"/>
        <v>0</v>
      </c>
      <c r="G383" s="38">
        <f t="shared" si="612"/>
        <v>0</v>
      </c>
      <c r="H383" s="38">
        <f t="shared" si="613"/>
        <v>2530.9</v>
      </c>
      <c r="I383" s="38">
        <f t="shared" si="605"/>
        <v>0</v>
      </c>
      <c r="J383" s="18">
        <f t="shared" si="606"/>
        <v>179.8</v>
      </c>
      <c r="K383" s="19">
        <v>0</v>
      </c>
      <c r="L383" s="19">
        <v>0</v>
      </c>
      <c r="M383" s="19">
        <f>287-107.2</f>
        <v>179.8</v>
      </c>
      <c r="N383" s="19">
        <v>0</v>
      </c>
      <c r="O383" s="18">
        <f t="shared" si="607"/>
        <v>306.8</v>
      </c>
      <c r="P383" s="19">
        <v>0</v>
      </c>
      <c r="Q383" s="19">
        <v>0</v>
      </c>
      <c r="R383" s="19">
        <v>306.8</v>
      </c>
      <c r="S383" s="19">
        <v>0</v>
      </c>
      <c r="T383" s="18">
        <f t="shared" si="608"/>
        <v>303.2</v>
      </c>
      <c r="U383" s="19">
        <v>0</v>
      </c>
      <c r="V383" s="19">
        <v>0</v>
      </c>
      <c r="W383" s="107">
        <v>303.2</v>
      </c>
      <c r="X383" s="19">
        <v>0</v>
      </c>
      <c r="Y383" s="18">
        <f t="shared" si="609"/>
        <v>1120.6999999999998</v>
      </c>
      <c r="Z383" s="19">
        <v>0</v>
      </c>
      <c r="AA383" s="19">
        <v>0</v>
      </c>
      <c r="AB383" s="154">
        <f>292.4+828.3</f>
        <v>1120.6999999999998</v>
      </c>
      <c r="AC383" s="19">
        <v>0</v>
      </c>
      <c r="AD383" s="18">
        <f t="shared" si="610"/>
        <v>304.10000000000002</v>
      </c>
      <c r="AE383" s="19">
        <v>0</v>
      </c>
      <c r="AF383" s="19">
        <v>0</v>
      </c>
      <c r="AG383" s="108">
        <v>304.10000000000002</v>
      </c>
      <c r="AH383" s="19">
        <v>0</v>
      </c>
      <c r="AI383" s="18">
        <f t="shared" si="611"/>
        <v>316.3</v>
      </c>
      <c r="AJ383" s="19">
        <v>0</v>
      </c>
      <c r="AK383" s="19">
        <v>0</v>
      </c>
      <c r="AL383" s="108">
        <v>316.3</v>
      </c>
      <c r="AM383" s="19">
        <v>0</v>
      </c>
    </row>
    <row r="384" spans="1:39" s="5" customFormat="1" outlineLevel="2" x14ac:dyDescent="0.25">
      <c r="A384" s="165" t="s">
        <v>236</v>
      </c>
      <c r="B384" s="197" t="s">
        <v>266</v>
      </c>
      <c r="C384" s="203"/>
      <c r="D384" s="203"/>
      <c r="E384" s="21">
        <f>SUM(E385:E402)</f>
        <v>222895.69999999995</v>
      </c>
      <c r="F384" s="21">
        <f t="shared" ref="F384:AM384" si="614">SUM(F385:F402)</f>
        <v>0</v>
      </c>
      <c r="G384" s="21">
        <f t="shared" si="614"/>
        <v>0</v>
      </c>
      <c r="H384" s="21">
        <f t="shared" si="614"/>
        <v>222895.69999999995</v>
      </c>
      <c r="I384" s="21">
        <f t="shared" si="614"/>
        <v>0</v>
      </c>
      <c r="J384" s="21">
        <f t="shared" si="614"/>
        <v>30533.300000000003</v>
      </c>
      <c r="K384" s="21">
        <f t="shared" si="614"/>
        <v>0</v>
      </c>
      <c r="L384" s="21">
        <f t="shared" si="614"/>
        <v>0</v>
      </c>
      <c r="M384" s="21">
        <f t="shared" si="614"/>
        <v>30533.300000000003</v>
      </c>
      <c r="N384" s="21">
        <f t="shared" si="614"/>
        <v>0</v>
      </c>
      <c r="O384" s="21">
        <f t="shared" si="614"/>
        <v>34489.399999999994</v>
      </c>
      <c r="P384" s="21">
        <f t="shared" si="614"/>
        <v>0</v>
      </c>
      <c r="Q384" s="21">
        <f t="shared" si="614"/>
        <v>0</v>
      </c>
      <c r="R384" s="21">
        <f t="shared" si="614"/>
        <v>34489.399999999994</v>
      </c>
      <c r="S384" s="21">
        <f t="shared" si="614"/>
        <v>0</v>
      </c>
      <c r="T384" s="21">
        <f t="shared" si="614"/>
        <v>37145.999999999993</v>
      </c>
      <c r="U384" s="21">
        <f t="shared" si="614"/>
        <v>0</v>
      </c>
      <c r="V384" s="21">
        <f t="shared" si="614"/>
        <v>0</v>
      </c>
      <c r="W384" s="21">
        <f t="shared" si="614"/>
        <v>37145.999999999993</v>
      </c>
      <c r="X384" s="21">
        <f t="shared" si="614"/>
        <v>0</v>
      </c>
      <c r="Y384" s="21">
        <f t="shared" si="614"/>
        <v>38117</v>
      </c>
      <c r="Z384" s="21">
        <f t="shared" si="614"/>
        <v>0</v>
      </c>
      <c r="AA384" s="21">
        <f t="shared" si="614"/>
        <v>0</v>
      </c>
      <c r="AB384" s="21">
        <f t="shared" si="614"/>
        <v>38117</v>
      </c>
      <c r="AC384" s="21">
        <f t="shared" si="614"/>
        <v>0</v>
      </c>
      <c r="AD384" s="21">
        <f t="shared" si="614"/>
        <v>40536.500000000007</v>
      </c>
      <c r="AE384" s="21">
        <f t="shared" si="614"/>
        <v>0</v>
      </c>
      <c r="AF384" s="21">
        <f t="shared" si="614"/>
        <v>0</v>
      </c>
      <c r="AG384" s="21">
        <f t="shared" si="614"/>
        <v>40536.500000000007</v>
      </c>
      <c r="AH384" s="21">
        <f t="shared" si="614"/>
        <v>0</v>
      </c>
      <c r="AI384" s="21">
        <f t="shared" si="614"/>
        <v>42073.5</v>
      </c>
      <c r="AJ384" s="21">
        <f t="shared" si="614"/>
        <v>0</v>
      </c>
      <c r="AK384" s="21">
        <f t="shared" si="614"/>
        <v>0</v>
      </c>
      <c r="AL384" s="21">
        <f t="shared" si="614"/>
        <v>42073.5</v>
      </c>
      <c r="AM384" s="21">
        <f t="shared" si="614"/>
        <v>0</v>
      </c>
    </row>
    <row r="385" spans="1:39" s="2" customFormat="1" ht="31.5" outlineLevel="3" x14ac:dyDescent="0.25">
      <c r="A385" s="8" t="s">
        <v>237</v>
      </c>
      <c r="B385" s="33" t="s">
        <v>66</v>
      </c>
      <c r="C385" s="26" t="s">
        <v>32</v>
      </c>
      <c r="D385" s="26" t="s">
        <v>118</v>
      </c>
      <c r="E385" s="20">
        <f t="shared" ref="E385:E402" si="615">SUM(F385:I385)</f>
        <v>4813.0999999999995</v>
      </c>
      <c r="F385" s="38">
        <f t="shared" ref="F385:F402" si="616">K385+P385+U385</f>
        <v>0</v>
      </c>
      <c r="G385" s="38">
        <f>L385+Q385+V385+AA385+AF385+AK385</f>
        <v>0</v>
      </c>
      <c r="H385" s="38">
        <f>M385+R385+W385+AB385+AG385+AL385</f>
        <v>4813.0999999999995</v>
      </c>
      <c r="I385" s="38">
        <f t="shared" ref="I385:I402" si="617">N385+S385+X385+AC385+AH385+AM385</f>
        <v>0</v>
      </c>
      <c r="J385" s="18">
        <f t="shared" ref="J385:J402" si="618">SUM(K385:N385)</f>
        <v>743.5</v>
      </c>
      <c r="K385" s="19">
        <v>0</v>
      </c>
      <c r="L385" s="19">
        <v>0</v>
      </c>
      <c r="M385" s="19">
        <f>615.8+127.7</f>
        <v>743.5</v>
      </c>
      <c r="N385" s="19">
        <v>0</v>
      </c>
      <c r="O385" s="18">
        <f t="shared" ref="O385:O402" si="619">SUM(P385:S385)</f>
        <v>784.6</v>
      </c>
      <c r="P385" s="19">
        <v>0</v>
      </c>
      <c r="Q385" s="19">
        <v>0</v>
      </c>
      <c r="R385" s="19">
        <v>784.6</v>
      </c>
      <c r="S385" s="19">
        <v>0</v>
      </c>
      <c r="T385" s="18">
        <f t="shared" ref="T385:T402" si="620">SUM(U385:X385)</f>
        <v>779</v>
      </c>
      <c r="U385" s="19">
        <v>0</v>
      </c>
      <c r="V385" s="19">
        <v>0</v>
      </c>
      <c r="W385" s="109">
        <v>779</v>
      </c>
      <c r="X385" s="19">
        <v>0</v>
      </c>
      <c r="Y385" s="18">
        <f t="shared" ref="Y385:Y402" si="621">SUM(Z385:AC385)</f>
        <v>814.3</v>
      </c>
      <c r="Z385" s="19">
        <v>0</v>
      </c>
      <c r="AA385" s="19">
        <v>0</v>
      </c>
      <c r="AB385" s="109">
        <f>816.8-2.5</f>
        <v>814.3</v>
      </c>
      <c r="AC385" s="19">
        <v>0</v>
      </c>
      <c r="AD385" s="18">
        <f t="shared" ref="AD385:AD402" si="622">SUM(AE385:AH385)</f>
        <v>829.9</v>
      </c>
      <c r="AE385" s="19">
        <v>0</v>
      </c>
      <c r="AF385" s="19">
        <v>0</v>
      </c>
      <c r="AG385" s="109">
        <f>859-29.1</f>
        <v>829.9</v>
      </c>
      <c r="AH385" s="19">
        <v>0</v>
      </c>
      <c r="AI385" s="18">
        <f t="shared" ref="AI385:AI402" si="623">SUM(AJ385:AM385)</f>
        <v>861.8</v>
      </c>
      <c r="AJ385" s="19">
        <v>0</v>
      </c>
      <c r="AK385" s="19">
        <v>0</v>
      </c>
      <c r="AL385" s="109">
        <f>893.3-31.5</f>
        <v>861.8</v>
      </c>
      <c r="AM385" s="19">
        <v>0</v>
      </c>
    </row>
    <row r="386" spans="1:39" s="2" customFormat="1" ht="31.5" outlineLevel="3" x14ac:dyDescent="0.25">
      <c r="A386" s="8" t="s">
        <v>238</v>
      </c>
      <c r="B386" s="33" t="s">
        <v>59</v>
      </c>
      <c r="C386" s="26" t="s">
        <v>32</v>
      </c>
      <c r="D386" s="26" t="s">
        <v>118</v>
      </c>
      <c r="E386" s="20">
        <f t="shared" si="615"/>
        <v>21802.199999999997</v>
      </c>
      <c r="F386" s="38">
        <f t="shared" si="616"/>
        <v>0</v>
      </c>
      <c r="G386" s="38">
        <f t="shared" ref="G386:G402" si="624">L386+Q386+V386+AA386+AF386+AK386</f>
        <v>0</v>
      </c>
      <c r="H386" s="38">
        <f t="shared" ref="H386:H402" si="625">M386+R386+W386+AB386+AG386+AL386</f>
        <v>21802.199999999997</v>
      </c>
      <c r="I386" s="38">
        <f t="shared" si="617"/>
        <v>0</v>
      </c>
      <c r="J386" s="18">
        <f t="shared" si="618"/>
        <v>2983.8</v>
      </c>
      <c r="K386" s="19">
        <v>0</v>
      </c>
      <c r="L386" s="19">
        <v>0</v>
      </c>
      <c r="M386" s="19">
        <v>2983.8</v>
      </c>
      <c r="N386" s="19">
        <v>0</v>
      </c>
      <c r="O386" s="18">
        <f t="shared" si="619"/>
        <v>3583.6</v>
      </c>
      <c r="P386" s="19">
        <v>0</v>
      </c>
      <c r="Q386" s="19">
        <v>0</v>
      </c>
      <c r="R386" s="19">
        <v>3583.6</v>
      </c>
      <c r="S386" s="19">
        <v>0</v>
      </c>
      <c r="T386" s="18">
        <f t="shared" si="620"/>
        <v>3540.5</v>
      </c>
      <c r="U386" s="19">
        <v>0</v>
      </c>
      <c r="V386" s="19">
        <v>0</v>
      </c>
      <c r="W386" s="109">
        <v>3540.5</v>
      </c>
      <c r="X386" s="19">
        <v>0</v>
      </c>
      <c r="Y386" s="18">
        <f t="shared" si="621"/>
        <v>3800.1</v>
      </c>
      <c r="Z386" s="19">
        <v>0</v>
      </c>
      <c r="AA386" s="19">
        <v>0</v>
      </c>
      <c r="AB386" s="109">
        <f>3811.7-11.6</f>
        <v>3800.1</v>
      </c>
      <c r="AC386" s="19">
        <v>0</v>
      </c>
      <c r="AD386" s="18">
        <f t="shared" si="622"/>
        <v>3872.6</v>
      </c>
      <c r="AE386" s="19">
        <v>0</v>
      </c>
      <c r="AF386" s="19">
        <v>0</v>
      </c>
      <c r="AG386" s="109">
        <f>4008.6-136</f>
        <v>3872.6</v>
      </c>
      <c r="AH386" s="19">
        <v>0</v>
      </c>
      <c r="AI386" s="18">
        <f t="shared" si="623"/>
        <v>4021.5999999999995</v>
      </c>
      <c r="AJ386" s="19">
        <v>0</v>
      </c>
      <c r="AK386" s="19">
        <v>0</v>
      </c>
      <c r="AL386" s="109">
        <f>4168.9-147.3</f>
        <v>4021.5999999999995</v>
      </c>
      <c r="AM386" s="19">
        <v>0</v>
      </c>
    </row>
    <row r="387" spans="1:39" s="2" customFormat="1" ht="31.5" outlineLevel="3" x14ac:dyDescent="0.25">
      <c r="A387" s="8" t="s">
        <v>239</v>
      </c>
      <c r="B387" s="33" t="s">
        <v>22</v>
      </c>
      <c r="C387" s="26" t="s">
        <v>32</v>
      </c>
      <c r="D387" s="26" t="s">
        <v>118</v>
      </c>
      <c r="E387" s="20">
        <f t="shared" si="615"/>
        <v>8604.2000000000007</v>
      </c>
      <c r="F387" s="38">
        <f>K387+P387+U387</f>
        <v>0</v>
      </c>
      <c r="G387" s="38">
        <f t="shared" si="624"/>
        <v>0</v>
      </c>
      <c r="H387" s="38">
        <f t="shared" si="625"/>
        <v>8604.2000000000007</v>
      </c>
      <c r="I387" s="38">
        <f t="shared" si="617"/>
        <v>0</v>
      </c>
      <c r="J387" s="18">
        <f t="shared" si="618"/>
        <v>0</v>
      </c>
      <c r="K387" s="19">
        <v>0</v>
      </c>
      <c r="L387" s="19">
        <v>0</v>
      </c>
      <c r="M387" s="19">
        <v>0</v>
      </c>
      <c r="N387" s="19">
        <v>0</v>
      </c>
      <c r="O387" s="18">
        <f t="shared" si="619"/>
        <v>1681.1</v>
      </c>
      <c r="P387" s="19">
        <v>0</v>
      </c>
      <c r="Q387" s="19">
        <v>0</v>
      </c>
      <c r="R387" s="19">
        <f>2181.1-500</f>
        <v>1681.1</v>
      </c>
      <c r="S387" s="19">
        <v>0</v>
      </c>
      <c r="T387" s="18">
        <f t="shared" si="620"/>
        <v>1818.3</v>
      </c>
      <c r="U387" s="19">
        <v>0</v>
      </c>
      <c r="V387" s="19">
        <v>0</v>
      </c>
      <c r="W387" s="109">
        <v>1818.3</v>
      </c>
      <c r="X387" s="19">
        <v>0</v>
      </c>
      <c r="Y387" s="18">
        <f t="shared" si="621"/>
        <v>1684.6000000000001</v>
      </c>
      <c r="Z387" s="19">
        <v>0</v>
      </c>
      <c r="AA387" s="19">
        <v>0</v>
      </c>
      <c r="AB387" s="109">
        <f>1716.2-31.6</f>
        <v>1684.6000000000001</v>
      </c>
      <c r="AC387" s="19">
        <v>0</v>
      </c>
      <c r="AD387" s="18">
        <f t="shared" si="622"/>
        <v>1685.8</v>
      </c>
      <c r="AE387" s="19">
        <v>0</v>
      </c>
      <c r="AF387" s="19">
        <v>0</v>
      </c>
      <c r="AG387" s="109">
        <f>1775.6-89.8</f>
        <v>1685.8</v>
      </c>
      <c r="AH387" s="19">
        <v>0</v>
      </c>
      <c r="AI387" s="18">
        <f t="shared" si="623"/>
        <v>1734.3999999999999</v>
      </c>
      <c r="AJ387" s="19">
        <v>0</v>
      </c>
      <c r="AK387" s="19">
        <v>0</v>
      </c>
      <c r="AL387" s="109">
        <f>1842.1-107.7</f>
        <v>1734.3999999999999</v>
      </c>
      <c r="AM387" s="19">
        <v>0</v>
      </c>
    </row>
    <row r="388" spans="1:39" s="2" customFormat="1" ht="31.5" outlineLevel="3" x14ac:dyDescent="0.25">
      <c r="A388" s="8" t="s">
        <v>240</v>
      </c>
      <c r="B388" s="33" t="s">
        <v>49</v>
      </c>
      <c r="C388" s="26" t="s">
        <v>32</v>
      </c>
      <c r="D388" s="26" t="s">
        <v>118</v>
      </c>
      <c r="E388" s="20">
        <f t="shared" si="615"/>
        <v>34379.4</v>
      </c>
      <c r="F388" s="38">
        <f t="shared" si="616"/>
        <v>0</v>
      </c>
      <c r="G388" s="38">
        <f t="shared" si="624"/>
        <v>0</v>
      </c>
      <c r="H388" s="38">
        <f t="shared" si="625"/>
        <v>34379.4</v>
      </c>
      <c r="I388" s="38">
        <f t="shared" si="617"/>
        <v>0</v>
      </c>
      <c r="J388" s="18">
        <f t="shared" si="618"/>
        <v>4363.2999999999993</v>
      </c>
      <c r="K388" s="19">
        <v>0</v>
      </c>
      <c r="L388" s="19">
        <v>0</v>
      </c>
      <c r="M388" s="19">
        <f>5648.9-1285.6</f>
        <v>4363.2999999999993</v>
      </c>
      <c r="N388" s="19">
        <v>0</v>
      </c>
      <c r="O388" s="18">
        <f t="shared" si="619"/>
        <v>5084.1000000000004</v>
      </c>
      <c r="P388" s="19">
        <v>0</v>
      </c>
      <c r="Q388" s="19">
        <v>0</v>
      </c>
      <c r="R388" s="19">
        <v>5084.1000000000004</v>
      </c>
      <c r="S388" s="19">
        <v>0</v>
      </c>
      <c r="T388" s="18">
        <f t="shared" si="620"/>
        <v>5552.7</v>
      </c>
      <c r="U388" s="19">
        <v>0</v>
      </c>
      <c r="V388" s="19">
        <v>0</v>
      </c>
      <c r="W388" s="19">
        <v>5552.7</v>
      </c>
      <c r="X388" s="19">
        <v>0</v>
      </c>
      <c r="Y388" s="18">
        <f t="shared" si="621"/>
        <v>6297.4000000000005</v>
      </c>
      <c r="Z388" s="19">
        <v>0</v>
      </c>
      <c r="AA388" s="19">
        <v>0</v>
      </c>
      <c r="AB388" s="109">
        <f>6316.6-19.2</f>
        <v>6297.4000000000005</v>
      </c>
      <c r="AC388" s="19">
        <v>0</v>
      </c>
      <c r="AD388" s="18">
        <f t="shared" si="622"/>
        <v>6417.5</v>
      </c>
      <c r="AE388" s="19">
        <v>0</v>
      </c>
      <c r="AF388" s="19">
        <v>0</v>
      </c>
      <c r="AG388" s="109">
        <f>6642.7-225.2</f>
        <v>6417.5</v>
      </c>
      <c r="AH388" s="19">
        <v>0</v>
      </c>
      <c r="AI388" s="18">
        <f t="shared" si="623"/>
        <v>6664.4</v>
      </c>
      <c r="AJ388" s="19">
        <v>0</v>
      </c>
      <c r="AK388" s="19">
        <v>0</v>
      </c>
      <c r="AL388" s="109">
        <f>6908.5-244.1</f>
        <v>6664.4</v>
      </c>
      <c r="AM388" s="19">
        <v>0</v>
      </c>
    </row>
    <row r="389" spans="1:39" s="2" customFormat="1" ht="31.5" outlineLevel="3" x14ac:dyDescent="0.25">
      <c r="A389" s="8" t="s">
        <v>241</v>
      </c>
      <c r="B389" s="33" t="s">
        <v>50</v>
      </c>
      <c r="C389" s="26" t="s">
        <v>32</v>
      </c>
      <c r="D389" s="26" t="s">
        <v>118</v>
      </c>
      <c r="E389" s="20">
        <f t="shared" si="615"/>
        <v>4440.8</v>
      </c>
      <c r="F389" s="38">
        <f t="shared" si="616"/>
        <v>0</v>
      </c>
      <c r="G389" s="38">
        <f t="shared" si="624"/>
        <v>0</v>
      </c>
      <c r="H389" s="38">
        <f t="shared" si="625"/>
        <v>4440.8</v>
      </c>
      <c r="I389" s="38">
        <f t="shared" si="617"/>
        <v>0</v>
      </c>
      <c r="J389" s="18">
        <f t="shared" si="618"/>
        <v>682.90000000000009</v>
      </c>
      <c r="K389" s="19">
        <v>0</v>
      </c>
      <c r="L389" s="19">
        <v>0</v>
      </c>
      <c r="M389" s="19">
        <f>944.2-261.3</f>
        <v>682.90000000000009</v>
      </c>
      <c r="N389" s="19">
        <v>0</v>
      </c>
      <c r="O389" s="18">
        <f t="shared" si="619"/>
        <v>561.70000000000005</v>
      </c>
      <c r="P389" s="19">
        <v>0</v>
      </c>
      <c r="Q389" s="19">
        <v>0</v>
      </c>
      <c r="R389" s="19">
        <f>893.6-244-87.9</f>
        <v>561.70000000000005</v>
      </c>
      <c r="S389" s="19">
        <v>0</v>
      </c>
      <c r="T389" s="18">
        <f t="shared" si="620"/>
        <v>843.8</v>
      </c>
      <c r="U389" s="19">
        <v>0</v>
      </c>
      <c r="V389" s="19">
        <v>0</v>
      </c>
      <c r="W389" s="109">
        <v>843.8</v>
      </c>
      <c r="X389" s="19">
        <v>0</v>
      </c>
      <c r="Y389" s="18">
        <f t="shared" si="621"/>
        <v>660.69999999999993</v>
      </c>
      <c r="Z389" s="19">
        <v>0</v>
      </c>
      <c r="AA389" s="19">
        <v>0</v>
      </c>
      <c r="AB389" s="109">
        <f>816.8-2.5-153.6</f>
        <v>660.69999999999993</v>
      </c>
      <c r="AC389" s="19">
        <v>0</v>
      </c>
      <c r="AD389" s="18">
        <f t="shared" si="622"/>
        <v>829.9</v>
      </c>
      <c r="AE389" s="19">
        <v>0</v>
      </c>
      <c r="AF389" s="19">
        <v>0</v>
      </c>
      <c r="AG389" s="109">
        <f>859-29.1</f>
        <v>829.9</v>
      </c>
      <c r="AH389" s="19">
        <v>0</v>
      </c>
      <c r="AI389" s="18">
        <f t="shared" si="623"/>
        <v>861.8</v>
      </c>
      <c r="AJ389" s="19">
        <v>0</v>
      </c>
      <c r="AK389" s="19">
        <v>0</v>
      </c>
      <c r="AL389" s="109">
        <f>893.3-31.5</f>
        <v>861.8</v>
      </c>
      <c r="AM389" s="19">
        <v>0</v>
      </c>
    </row>
    <row r="390" spans="1:39" s="2" customFormat="1" ht="31.5" outlineLevel="3" x14ac:dyDescent="0.25">
      <c r="A390" s="8" t="s">
        <v>242</v>
      </c>
      <c r="B390" s="33" t="s">
        <v>65</v>
      </c>
      <c r="C390" s="26" t="s">
        <v>32</v>
      </c>
      <c r="D390" s="26" t="s">
        <v>118</v>
      </c>
      <c r="E390" s="20">
        <f t="shared" si="615"/>
        <v>4469.3</v>
      </c>
      <c r="F390" s="38">
        <f t="shared" si="616"/>
        <v>0</v>
      </c>
      <c r="G390" s="38">
        <f t="shared" si="624"/>
        <v>0</v>
      </c>
      <c r="H390" s="38">
        <f t="shared" si="625"/>
        <v>4469.3</v>
      </c>
      <c r="I390" s="38">
        <f t="shared" si="617"/>
        <v>0</v>
      </c>
      <c r="J390" s="18">
        <f t="shared" si="618"/>
        <v>874.5</v>
      </c>
      <c r="K390" s="19">
        <v>0</v>
      </c>
      <c r="L390" s="19">
        <v>0</v>
      </c>
      <c r="M390" s="19">
        <v>874.5</v>
      </c>
      <c r="N390" s="19">
        <v>0</v>
      </c>
      <c r="O390" s="18">
        <f t="shared" si="619"/>
        <v>779.5</v>
      </c>
      <c r="P390" s="19">
        <v>0</v>
      </c>
      <c r="Q390" s="19">
        <v>0</v>
      </c>
      <c r="R390" s="19">
        <v>779.5</v>
      </c>
      <c r="S390" s="19">
        <v>0</v>
      </c>
      <c r="T390" s="18">
        <f t="shared" si="620"/>
        <v>727.1</v>
      </c>
      <c r="U390" s="19">
        <v>0</v>
      </c>
      <c r="V390" s="19">
        <v>0</v>
      </c>
      <c r="W390" s="109">
        <v>727.1</v>
      </c>
      <c r="X390" s="19">
        <v>0</v>
      </c>
      <c r="Y390" s="18">
        <f t="shared" si="621"/>
        <v>678.6</v>
      </c>
      <c r="Z390" s="19">
        <v>0</v>
      </c>
      <c r="AA390" s="19">
        <v>0</v>
      </c>
      <c r="AB390" s="109">
        <f>680.7-2.1</f>
        <v>678.6</v>
      </c>
      <c r="AC390" s="19">
        <v>0</v>
      </c>
      <c r="AD390" s="18">
        <f t="shared" si="622"/>
        <v>691.5</v>
      </c>
      <c r="AE390" s="19">
        <v>0</v>
      </c>
      <c r="AF390" s="19">
        <v>0</v>
      </c>
      <c r="AG390" s="109">
        <f>715.8-24.3</f>
        <v>691.5</v>
      </c>
      <c r="AH390" s="19">
        <v>0</v>
      </c>
      <c r="AI390" s="18">
        <f t="shared" si="623"/>
        <v>718.1</v>
      </c>
      <c r="AJ390" s="19">
        <v>0</v>
      </c>
      <c r="AK390" s="19">
        <v>0</v>
      </c>
      <c r="AL390" s="109">
        <f>744.5-26.4</f>
        <v>718.1</v>
      </c>
      <c r="AM390" s="19">
        <v>0</v>
      </c>
    </row>
    <row r="391" spans="1:39" s="2" customFormat="1" ht="31.5" outlineLevel="3" x14ac:dyDescent="0.25">
      <c r="A391" s="8" t="s">
        <v>243</v>
      </c>
      <c r="B391" s="33" t="s">
        <v>51</v>
      </c>
      <c r="C391" s="26" t="s">
        <v>32</v>
      </c>
      <c r="D391" s="26" t="s">
        <v>118</v>
      </c>
      <c r="E391" s="20">
        <f t="shared" si="615"/>
        <v>13470.1</v>
      </c>
      <c r="F391" s="38">
        <f t="shared" si="616"/>
        <v>0</v>
      </c>
      <c r="G391" s="38">
        <f t="shared" si="624"/>
        <v>0</v>
      </c>
      <c r="H391" s="38">
        <f t="shared" si="625"/>
        <v>13470.1</v>
      </c>
      <c r="I391" s="38">
        <f t="shared" si="617"/>
        <v>0</v>
      </c>
      <c r="J391" s="18">
        <f t="shared" si="618"/>
        <v>1683</v>
      </c>
      <c r="K391" s="19">
        <v>0</v>
      </c>
      <c r="L391" s="19">
        <v>0</v>
      </c>
      <c r="M391" s="19">
        <v>1683</v>
      </c>
      <c r="N391" s="19">
        <v>0</v>
      </c>
      <c r="O391" s="18">
        <f t="shared" si="619"/>
        <v>2025.5</v>
      </c>
      <c r="P391" s="19">
        <v>0</v>
      </c>
      <c r="Q391" s="19">
        <v>0</v>
      </c>
      <c r="R391" s="19">
        <v>2025.5</v>
      </c>
      <c r="S391" s="19">
        <v>0</v>
      </c>
      <c r="T391" s="18">
        <f t="shared" si="620"/>
        <v>2380.4</v>
      </c>
      <c r="U391" s="19">
        <v>0</v>
      </c>
      <c r="V391" s="19">
        <v>0</v>
      </c>
      <c r="W391" s="109">
        <v>2380.4</v>
      </c>
      <c r="X391" s="19">
        <v>0</v>
      </c>
      <c r="Y391" s="18">
        <f t="shared" si="621"/>
        <v>1922.9</v>
      </c>
      <c r="Z391" s="19">
        <v>0</v>
      </c>
      <c r="AA391" s="19">
        <v>0</v>
      </c>
      <c r="AB391" s="109">
        <f>2635.5-8-704.6</f>
        <v>1922.9</v>
      </c>
      <c r="AC391" s="19">
        <v>0</v>
      </c>
      <c r="AD391" s="18">
        <f t="shared" si="622"/>
        <v>2677.7</v>
      </c>
      <c r="AE391" s="19">
        <v>0</v>
      </c>
      <c r="AF391" s="19">
        <v>0</v>
      </c>
      <c r="AG391" s="109">
        <f>2771.6-93.9</f>
        <v>2677.7</v>
      </c>
      <c r="AH391" s="19">
        <v>0</v>
      </c>
      <c r="AI391" s="18">
        <f t="shared" si="623"/>
        <v>2780.6</v>
      </c>
      <c r="AJ391" s="19">
        <v>0</v>
      </c>
      <c r="AK391" s="19">
        <v>0</v>
      </c>
      <c r="AL391" s="109">
        <f>2882.5-101.9</f>
        <v>2780.6</v>
      </c>
      <c r="AM391" s="19">
        <v>0</v>
      </c>
    </row>
    <row r="392" spans="1:39" s="2" customFormat="1" ht="31.5" outlineLevel="3" x14ac:dyDescent="0.25">
      <c r="A392" s="8" t="s">
        <v>244</v>
      </c>
      <c r="B392" s="33" t="s">
        <v>52</v>
      </c>
      <c r="C392" s="26" t="s">
        <v>32</v>
      </c>
      <c r="D392" s="26" t="s">
        <v>118</v>
      </c>
      <c r="E392" s="20">
        <f t="shared" si="615"/>
        <v>7432.7999999999993</v>
      </c>
      <c r="F392" s="38">
        <f t="shared" si="616"/>
        <v>0</v>
      </c>
      <c r="G392" s="38">
        <f t="shared" si="624"/>
        <v>0</v>
      </c>
      <c r="H392" s="38">
        <f t="shared" si="625"/>
        <v>7432.7999999999993</v>
      </c>
      <c r="I392" s="38">
        <f t="shared" si="617"/>
        <v>0</v>
      </c>
      <c r="J392" s="18">
        <f t="shared" si="618"/>
        <v>1104.9000000000001</v>
      </c>
      <c r="K392" s="19">
        <v>0</v>
      </c>
      <c r="L392" s="19">
        <v>0</v>
      </c>
      <c r="M392" s="19">
        <v>1104.9000000000001</v>
      </c>
      <c r="N392" s="19">
        <v>0</v>
      </c>
      <c r="O392" s="18">
        <f t="shared" si="619"/>
        <v>1219.4000000000001</v>
      </c>
      <c r="P392" s="19">
        <v>0</v>
      </c>
      <c r="Q392" s="19">
        <v>0</v>
      </c>
      <c r="R392" s="19">
        <v>1219.4000000000001</v>
      </c>
      <c r="S392" s="19">
        <v>0</v>
      </c>
      <c r="T392" s="18">
        <f t="shared" si="620"/>
        <v>1266.0999999999999</v>
      </c>
      <c r="U392" s="19">
        <v>0</v>
      </c>
      <c r="V392" s="19">
        <v>0</v>
      </c>
      <c r="W392" s="109">
        <v>1266.0999999999999</v>
      </c>
      <c r="X392" s="19">
        <v>0</v>
      </c>
      <c r="Y392" s="18">
        <f t="shared" si="621"/>
        <v>1248.6000000000001</v>
      </c>
      <c r="Z392" s="19">
        <v>0</v>
      </c>
      <c r="AA392" s="19">
        <v>0</v>
      </c>
      <c r="AB392" s="109">
        <f>1252.4-3.8</f>
        <v>1248.6000000000001</v>
      </c>
      <c r="AC392" s="19">
        <v>0</v>
      </c>
      <c r="AD392" s="18">
        <f t="shared" si="622"/>
        <v>1272.3999999999999</v>
      </c>
      <c r="AE392" s="19">
        <v>0</v>
      </c>
      <c r="AF392" s="19">
        <v>0</v>
      </c>
      <c r="AG392" s="109">
        <f>1317.1-44.7</f>
        <v>1272.3999999999999</v>
      </c>
      <c r="AH392" s="19">
        <v>0</v>
      </c>
      <c r="AI392" s="18">
        <f t="shared" si="623"/>
        <v>1321.3999999999999</v>
      </c>
      <c r="AJ392" s="19">
        <v>0</v>
      </c>
      <c r="AK392" s="19">
        <v>0</v>
      </c>
      <c r="AL392" s="109">
        <f>1369.8-48.4</f>
        <v>1321.3999999999999</v>
      </c>
      <c r="AM392" s="19">
        <v>0</v>
      </c>
    </row>
    <row r="393" spans="1:39" s="2" customFormat="1" ht="31.5" outlineLevel="3" x14ac:dyDescent="0.25">
      <c r="A393" s="8" t="s">
        <v>245</v>
      </c>
      <c r="B393" s="33" t="s">
        <v>64</v>
      </c>
      <c r="C393" s="26" t="s">
        <v>32</v>
      </c>
      <c r="D393" s="26" t="s">
        <v>118</v>
      </c>
      <c r="E393" s="20">
        <f t="shared" si="615"/>
        <v>27296.899999999998</v>
      </c>
      <c r="F393" s="38">
        <f t="shared" si="616"/>
        <v>0</v>
      </c>
      <c r="G393" s="38">
        <f t="shared" si="624"/>
        <v>0</v>
      </c>
      <c r="H393" s="38">
        <f t="shared" si="625"/>
        <v>27296.899999999998</v>
      </c>
      <c r="I393" s="38">
        <f t="shared" si="617"/>
        <v>0</v>
      </c>
      <c r="J393" s="18">
        <f t="shared" si="618"/>
        <v>3986.6</v>
      </c>
      <c r="K393" s="19">
        <v>0</v>
      </c>
      <c r="L393" s="19">
        <v>0</v>
      </c>
      <c r="M393" s="19">
        <v>3986.6</v>
      </c>
      <c r="N393" s="19">
        <v>0</v>
      </c>
      <c r="O393" s="18">
        <f t="shared" si="619"/>
        <v>3970.1</v>
      </c>
      <c r="P393" s="19">
        <v>0</v>
      </c>
      <c r="Q393" s="19">
        <v>0</v>
      </c>
      <c r="R393" s="19">
        <v>3970.1</v>
      </c>
      <c r="S393" s="19">
        <v>0</v>
      </c>
      <c r="T393" s="18">
        <f t="shared" si="620"/>
        <v>4471.6000000000004</v>
      </c>
      <c r="U393" s="19">
        <v>0</v>
      </c>
      <c r="V393" s="19">
        <v>0</v>
      </c>
      <c r="W393" s="109">
        <v>4471.6000000000004</v>
      </c>
      <c r="X393" s="19">
        <v>0</v>
      </c>
      <c r="Y393" s="18">
        <f t="shared" si="621"/>
        <v>4831.5999999999995</v>
      </c>
      <c r="Z393" s="19">
        <v>0</v>
      </c>
      <c r="AA393" s="19">
        <v>0</v>
      </c>
      <c r="AB393" s="109">
        <f>4846.4-14.8</f>
        <v>4831.5999999999995</v>
      </c>
      <c r="AC393" s="19">
        <v>0</v>
      </c>
      <c r="AD393" s="18">
        <f t="shared" si="622"/>
        <v>4923.8</v>
      </c>
      <c r="AE393" s="19">
        <v>0</v>
      </c>
      <c r="AF393" s="19">
        <v>0</v>
      </c>
      <c r="AG393" s="109">
        <f>5096.6-172.8</f>
        <v>4923.8</v>
      </c>
      <c r="AH393" s="19">
        <v>0</v>
      </c>
      <c r="AI393" s="18">
        <f t="shared" si="623"/>
        <v>5113.2</v>
      </c>
      <c r="AJ393" s="19">
        <v>0</v>
      </c>
      <c r="AK393" s="19">
        <v>0</v>
      </c>
      <c r="AL393" s="109">
        <f>5300.5-187.3</f>
        <v>5113.2</v>
      </c>
      <c r="AM393" s="19">
        <v>0</v>
      </c>
    </row>
    <row r="394" spans="1:39" s="2" customFormat="1" ht="31.5" outlineLevel="3" x14ac:dyDescent="0.25">
      <c r="A394" s="8" t="s">
        <v>246</v>
      </c>
      <c r="B394" s="33" t="s">
        <v>53</v>
      </c>
      <c r="C394" s="26" t="s">
        <v>32</v>
      </c>
      <c r="D394" s="26" t="s">
        <v>118</v>
      </c>
      <c r="E394" s="20">
        <f t="shared" si="615"/>
        <v>21519.599999999999</v>
      </c>
      <c r="F394" s="38">
        <f t="shared" si="616"/>
        <v>0</v>
      </c>
      <c r="G394" s="38">
        <f t="shared" si="624"/>
        <v>0</v>
      </c>
      <c r="H394" s="38">
        <f t="shared" si="625"/>
        <v>21519.599999999999</v>
      </c>
      <c r="I394" s="38">
        <f t="shared" si="617"/>
        <v>0</v>
      </c>
      <c r="J394" s="18">
        <f t="shared" si="618"/>
        <v>2810.1</v>
      </c>
      <c r="K394" s="19">
        <v>0</v>
      </c>
      <c r="L394" s="19">
        <v>0</v>
      </c>
      <c r="M394" s="19">
        <v>2810.1</v>
      </c>
      <c r="N394" s="19">
        <v>0</v>
      </c>
      <c r="O394" s="18">
        <f t="shared" si="619"/>
        <v>3098.7999999999997</v>
      </c>
      <c r="P394" s="19">
        <v>0</v>
      </c>
      <c r="Q394" s="19">
        <v>0</v>
      </c>
      <c r="R394" s="19">
        <f>2886.7+212.1</f>
        <v>3098.7999999999997</v>
      </c>
      <c r="S394" s="19">
        <v>0</v>
      </c>
      <c r="T394" s="18">
        <f t="shared" si="620"/>
        <v>3454.8</v>
      </c>
      <c r="U394" s="19">
        <v>0</v>
      </c>
      <c r="V394" s="19">
        <v>0</v>
      </c>
      <c r="W394" s="109">
        <v>3454.8</v>
      </c>
      <c r="X394" s="19">
        <v>0</v>
      </c>
      <c r="Y394" s="18">
        <f t="shared" si="621"/>
        <v>3776.7999999999997</v>
      </c>
      <c r="Z394" s="19">
        <v>0</v>
      </c>
      <c r="AA394" s="19">
        <v>0</v>
      </c>
      <c r="AB394" s="109">
        <f>4045.9-12.3-256.8</f>
        <v>3776.7999999999997</v>
      </c>
      <c r="AC394" s="19">
        <v>0</v>
      </c>
      <c r="AD394" s="18">
        <f t="shared" si="622"/>
        <v>4110.5</v>
      </c>
      <c r="AE394" s="19">
        <v>0</v>
      </c>
      <c r="AF394" s="19">
        <v>0</v>
      </c>
      <c r="AG394" s="109">
        <f>4254.8-144.3</f>
        <v>4110.5</v>
      </c>
      <c r="AH394" s="19">
        <v>0</v>
      </c>
      <c r="AI394" s="18">
        <f t="shared" si="623"/>
        <v>4268.6000000000004</v>
      </c>
      <c r="AJ394" s="19">
        <v>0</v>
      </c>
      <c r="AK394" s="19">
        <v>0</v>
      </c>
      <c r="AL394" s="109">
        <f>4425-156.4</f>
        <v>4268.6000000000004</v>
      </c>
      <c r="AM394" s="19">
        <v>0</v>
      </c>
    </row>
    <row r="395" spans="1:39" s="2" customFormat="1" ht="31.5" outlineLevel="3" x14ac:dyDescent="0.25">
      <c r="A395" s="8" t="s">
        <v>247</v>
      </c>
      <c r="B395" s="33" t="s">
        <v>63</v>
      </c>
      <c r="C395" s="26" t="s">
        <v>32</v>
      </c>
      <c r="D395" s="26" t="s">
        <v>118</v>
      </c>
      <c r="E395" s="20">
        <f t="shared" si="615"/>
        <v>2983.2999999999997</v>
      </c>
      <c r="F395" s="38">
        <f t="shared" si="616"/>
        <v>0</v>
      </c>
      <c r="G395" s="38">
        <f t="shared" si="624"/>
        <v>0</v>
      </c>
      <c r="H395" s="38">
        <f t="shared" si="625"/>
        <v>2983.2999999999997</v>
      </c>
      <c r="I395" s="38">
        <f t="shared" si="617"/>
        <v>0</v>
      </c>
      <c r="J395" s="18">
        <f t="shared" si="618"/>
        <v>357.7</v>
      </c>
      <c r="K395" s="19">
        <v>0</v>
      </c>
      <c r="L395" s="19">
        <v>0</v>
      </c>
      <c r="M395" s="19">
        <f>561.4-203.7</f>
        <v>357.7</v>
      </c>
      <c r="N395" s="19">
        <v>0</v>
      </c>
      <c r="O395" s="18">
        <f t="shared" si="619"/>
        <v>590.9</v>
      </c>
      <c r="P395" s="19">
        <v>0</v>
      </c>
      <c r="Q395" s="19">
        <v>0</v>
      </c>
      <c r="R395" s="19">
        <v>590.9</v>
      </c>
      <c r="S395" s="19">
        <v>0</v>
      </c>
      <c r="T395" s="18">
        <f t="shared" si="620"/>
        <v>531.1</v>
      </c>
      <c r="U395" s="19">
        <v>0</v>
      </c>
      <c r="V395" s="19">
        <v>0</v>
      </c>
      <c r="W395" s="109">
        <v>531.1</v>
      </c>
      <c r="X395" s="19">
        <v>0</v>
      </c>
      <c r="Y395" s="18">
        <f t="shared" si="621"/>
        <v>488.6</v>
      </c>
      <c r="Z395" s="19">
        <v>0</v>
      </c>
      <c r="AA395" s="19">
        <v>0</v>
      </c>
      <c r="AB395" s="109">
        <f>490.1-1.5</f>
        <v>488.6</v>
      </c>
      <c r="AC395" s="19">
        <v>0</v>
      </c>
      <c r="AD395" s="18">
        <f t="shared" si="622"/>
        <v>497.9</v>
      </c>
      <c r="AE395" s="19">
        <v>0</v>
      </c>
      <c r="AF395" s="19">
        <v>0</v>
      </c>
      <c r="AG395" s="109">
        <f>515.4-17.5</f>
        <v>497.9</v>
      </c>
      <c r="AH395" s="19">
        <v>0</v>
      </c>
      <c r="AI395" s="18">
        <f t="shared" si="623"/>
        <v>517.1</v>
      </c>
      <c r="AJ395" s="19">
        <v>0</v>
      </c>
      <c r="AK395" s="19">
        <v>0</v>
      </c>
      <c r="AL395" s="109">
        <f>536-18.9</f>
        <v>517.1</v>
      </c>
      <c r="AM395" s="19">
        <v>0</v>
      </c>
    </row>
    <row r="396" spans="1:39" s="2" customFormat="1" ht="31.5" outlineLevel="3" x14ac:dyDescent="0.25">
      <c r="A396" s="8" t="s">
        <v>248</v>
      </c>
      <c r="B396" s="33" t="s">
        <v>62</v>
      </c>
      <c r="C396" s="26" t="s">
        <v>32</v>
      </c>
      <c r="D396" s="26" t="s">
        <v>118</v>
      </c>
      <c r="E396" s="20">
        <f t="shared" si="615"/>
        <v>4632.8999999999996</v>
      </c>
      <c r="F396" s="38">
        <f t="shared" si="616"/>
        <v>0</v>
      </c>
      <c r="G396" s="38">
        <f t="shared" si="624"/>
        <v>0</v>
      </c>
      <c r="H396" s="38">
        <f t="shared" si="625"/>
        <v>4632.8999999999996</v>
      </c>
      <c r="I396" s="38">
        <f t="shared" si="617"/>
        <v>0</v>
      </c>
      <c r="J396" s="18">
        <f t="shared" si="618"/>
        <v>729.4</v>
      </c>
      <c r="K396" s="19">
        <v>0</v>
      </c>
      <c r="L396" s="19">
        <v>0</v>
      </c>
      <c r="M396" s="19">
        <v>729.4</v>
      </c>
      <c r="N396" s="19">
        <v>0</v>
      </c>
      <c r="O396" s="18">
        <f t="shared" si="619"/>
        <v>778</v>
      </c>
      <c r="P396" s="19">
        <v>0</v>
      </c>
      <c r="Q396" s="19">
        <v>0</v>
      </c>
      <c r="R396" s="19">
        <v>778</v>
      </c>
      <c r="S396" s="19">
        <v>0</v>
      </c>
      <c r="T396" s="18">
        <f t="shared" si="620"/>
        <v>767.3</v>
      </c>
      <c r="U396" s="19">
        <v>0</v>
      </c>
      <c r="V396" s="19">
        <v>0</v>
      </c>
      <c r="W396" s="109">
        <v>767.3</v>
      </c>
      <c r="X396" s="19">
        <v>0</v>
      </c>
      <c r="Y396" s="18">
        <f t="shared" si="621"/>
        <v>772.7</v>
      </c>
      <c r="Z396" s="19">
        <v>0</v>
      </c>
      <c r="AA396" s="19">
        <v>0</v>
      </c>
      <c r="AB396" s="109">
        <f>781.6-8.9</f>
        <v>772.7</v>
      </c>
      <c r="AC396" s="19">
        <v>0</v>
      </c>
      <c r="AD396" s="18">
        <f t="shared" si="622"/>
        <v>779.80000000000007</v>
      </c>
      <c r="AE396" s="19">
        <v>0</v>
      </c>
      <c r="AF396" s="19">
        <v>0</v>
      </c>
      <c r="AG396" s="109">
        <f>814.7-34.9</f>
        <v>779.80000000000007</v>
      </c>
      <c r="AH396" s="19">
        <v>0</v>
      </c>
      <c r="AI396" s="18">
        <f t="shared" si="623"/>
        <v>805.7</v>
      </c>
      <c r="AJ396" s="19">
        <v>0</v>
      </c>
      <c r="AK396" s="19">
        <v>0</v>
      </c>
      <c r="AL396" s="109">
        <f>846.2-40.5</f>
        <v>805.7</v>
      </c>
      <c r="AM396" s="19">
        <v>0</v>
      </c>
    </row>
    <row r="397" spans="1:39" s="2" customFormat="1" ht="31.5" outlineLevel="3" x14ac:dyDescent="0.25">
      <c r="A397" s="8" t="s">
        <v>249</v>
      </c>
      <c r="B397" s="33" t="s">
        <v>60</v>
      </c>
      <c r="C397" s="26" t="s">
        <v>32</v>
      </c>
      <c r="D397" s="26" t="s">
        <v>118</v>
      </c>
      <c r="E397" s="20">
        <f t="shared" si="615"/>
        <v>20535.3</v>
      </c>
      <c r="F397" s="38">
        <f t="shared" si="616"/>
        <v>0</v>
      </c>
      <c r="G397" s="38">
        <f t="shared" si="624"/>
        <v>0</v>
      </c>
      <c r="H397" s="38">
        <f t="shared" si="625"/>
        <v>20535.3</v>
      </c>
      <c r="I397" s="38">
        <f t="shared" si="617"/>
        <v>0</v>
      </c>
      <c r="J397" s="18">
        <f t="shared" si="618"/>
        <v>3748.4</v>
      </c>
      <c r="K397" s="19">
        <v>0</v>
      </c>
      <c r="L397" s="19">
        <v>0</v>
      </c>
      <c r="M397" s="19">
        <v>3748.4</v>
      </c>
      <c r="N397" s="19">
        <v>0</v>
      </c>
      <c r="O397" s="18">
        <f t="shared" si="619"/>
        <v>3629.3999999999996</v>
      </c>
      <c r="P397" s="19">
        <v>0</v>
      </c>
      <c r="Q397" s="19">
        <v>0</v>
      </c>
      <c r="R397" s="19">
        <f>4079.7-450.3</f>
        <v>3629.3999999999996</v>
      </c>
      <c r="S397" s="19">
        <v>0</v>
      </c>
      <c r="T397" s="18">
        <f t="shared" si="620"/>
        <v>3134.4</v>
      </c>
      <c r="U397" s="19">
        <v>0</v>
      </c>
      <c r="V397" s="19">
        <v>0</v>
      </c>
      <c r="W397" s="109">
        <f>4034.4-900</f>
        <v>3134.4</v>
      </c>
      <c r="X397" s="19">
        <v>0</v>
      </c>
      <c r="Y397" s="18">
        <f t="shared" si="621"/>
        <v>3166.4</v>
      </c>
      <c r="Z397" s="19">
        <v>0</v>
      </c>
      <c r="AA397" s="19">
        <v>0</v>
      </c>
      <c r="AB397" s="109">
        <f>3310.8-10.1-134.3</f>
        <v>3166.4</v>
      </c>
      <c r="AC397" s="19">
        <v>0</v>
      </c>
      <c r="AD397" s="18">
        <f t="shared" si="622"/>
        <v>3363.7</v>
      </c>
      <c r="AE397" s="19">
        <v>0</v>
      </c>
      <c r="AF397" s="19">
        <v>0</v>
      </c>
      <c r="AG397" s="109">
        <f>3481.7-118</f>
        <v>3363.7</v>
      </c>
      <c r="AH397" s="19">
        <v>0</v>
      </c>
      <c r="AI397" s="18">
        <f t="shared" si="623"/>
        <v>3493</v>
      </c>
      <c r="AJ397" s="19">
        <v>0</v>
      </c>
      <c r="AK397" s="19">
        <v>0</v>
      </c>
      <c r="AL397" s="109">
        <f>3621-128</f>
        <v>3493</v>
      </c>
      <c r="AM397" s="19">
        <v>0</v>
      </c>
    </row>
    <row r="398" spans="1:39" s="2" customFormat="1" ht="31.5" outlineLevel="3" x14ac:dyDescent="0.25">
      <c r="A398" s="8" t="s">
        <v>250</v>
      </c>
      <c r="B398" s="33" t="s">
        <v>61</v>
      </c>
      <c r="C398" s="26" t="s">
        <v>32</v>
      </c>
      <c r="D398" s="26" t="s">
        <v>118</v>
      </c>
      <c r="E398" s="20">
        <f t="shared" si="615"/>
        <v>6467.3</v>
      </c>
      <c r="F398" s="38">
        <f t="shared" si="616"/>
        <v>0</v>
      </c>
      <c r="G398" s="38">
        <f t="shared" si="624"/>
        <v>0</v>
      </c>
      <c r="H398" s="38">
        <f t="shared" si="625"/>
        <v>6467.3</v>
      </c>
      <c r="I398" s="38">
        <f t="shared" si="617"/>
        <v>0</v>
      </c>
      <c r="J398" s="18">
        <f t="shared" si="618"/>
        <v>740.3</v>
      </c>
      <c r="K398" s="19">
        <v>0</v>
      </c>
      <c r="L398" s="19">
        <v>0</v>
      </c>
      <c r="M398" s="19">
        <f>956.4-216.1</f>
        <v>740.3</v>
      </c>
      <c r="N398" s="19">
        <v>0</v>
      </c>
      <c r="O398" s="18">
        <f t="shared" si="619"/>
        <v>975.6</v>
      </c>
      <c r="P398" s="19">
        <v>0</v>
      </c>
      <c r="Q398" s="19">
        <v>0</v>
      </c>
      <c r="R398" s="19">
        <v>975.6</v>
      </c>
      <c r="S398" s="19">
        <v>0</v>
      </c>
      <c r="T398" s="18">
        <f t="shared" si="620"/>
        <v>1149.3</v>
      </c>
      <c r="U398" s="19">
        <v>0</v>
      </c>
      <c r="V398" s="19">
        <v>0</v>
      </c>
      <c r="W398" s="109">
        <v>1149.3</v>
      </c>
      <c r="X398" s="19">
        <v>0</v>
      </c>
      <c r="Y398" s="18">
        <f t="shared" si="621"/>
        <v>1173.5</v>
      </c>
      <c r="Z398" s="19">
        <v>0</v>
      </c>
      <c r="AA398" s="19">
        <v>0</v>
      </c>
      <c r="AB398" s="109">
        <f>1180.2-6.7</f>
        <v>1173.5</v>
      </c>
      <c r="AC398" s="19">
        <v>0</v>
      </c>
      <c r="AD398" s="18">
        <f t="shared" si="622"/>
        <v>1192.3</v>
      </c>
      <c r="AE398" s="19">
        <v>0</v>
      </c>
      <c r="AF398" s="19">
        <v>0</v>
      </c>
      <c r="AG398" s="109">
        <f>1237.7-45.4</f>
        <v>1192.3</v>
      </c>
      <c r="AH398" s="19">
        <v>0</v>
      </c>
      <c r="AI398" s="18">
        <f t="shared" si="623"/>
        <v>1236.3</v>
      </c>
      <c r="AJ398" s="19">
        <v>0</v>
      </c>
      <c r="AK398" s="19">
        <v>0</v>
      </c>
      <c r="AL398" s="109">
        <f>1286.7-50.4</f>
        <v>1236.3</v>
      </c>
      <c r="AM398" s="19">
        <v>0</v>
      </c>
    </row>
    <row r="399" spans="1:39" s="2" customFormat="1" ht="31.5" outlineLevel="3" x14ac:dyDescent="0.25">
      <c r="A399" s="8" t="s">
        <v>251</v>
      </c>
      <c r="B399" s="33" t="s">
        <v>54</v>
      </c>
      <c r="C399" s="26" t="s">
        <v>32</v>
      </c>
      <c r="D399" s="26" t="s">
        <v>118</v>
      </c>
      <c r="E399" s="20">
        <f t="shared" si="615"/>
        <v>14619.500000000002</v>
      </c>
      <c r="F399" s="38">
        <f t="shared" si="616"/>
        <v>0</v>
      </c>
      <c r="G399" s="38">
        <f t="shared" si="624"/>
        <v>0</v>
      </c>
      <c r="H399" s="38">
        <f t="shared" si="625"/>
        <v>14619.500000000002</v>
      </c>
      <c r="I399" s="38">
        <f t="shared" si="617"/>
        <v>0</v>
      </c>
      <c r="J399" s="18">
        <f t="shared" si="618"/>
        <v>2029.5</v>
      </c>
      <c r="K399" s="19">
        <v>0</v>
      </c>
      <c r="L399" s="19">
        <v>0</v>
      </c>
      <c r="M399" s="19">
        <v>2029.5</v>
      </c>
      <c r="N399" s="19">
        <v>0</v>
      </c>
      <c r="O399" s="18">
        <f t="shared" si="619"/>
        <v>1993.1</v>
      </c>
      <c r="P399" s="19">
        <v>0</v>
      </c>
      <c r="Q399" s="19">
        <v>0</v>
      </c>
      <c r="R399" s="19">
        <v>1993.1</v>
      </c>
      <c r="S399" s="19">
        <v>0</v>
      </c>
      <c r="T399" s="18">
        <f t="shared" si="620"/>
        <v>2410.9</v>
      </c>
      <c r="U399" s="19">
        <v>0</v>
      </c>
      <c r="V399" s="19">
        <v>0</v>
      </c>
      <c r="W399" s="109">
        <v>2410.9</v>
      </c>
      <c r="X399" s="19">
        <v>0</v>
      </c>
      <c r="Y399" s="18">
        <f t="shared" si="621"/>
        <v>2660.1</v>
      </c>
      <c r="Z399" s="19">
        <v>0</v>
      </c>
      <c r="AA399" s="19">
        <v>0</v>
      </c>
      <c r="AB399" s="109">
        <f>2668.2-8.1</f>
        <v>2660.1</v>
      </c>
      <c r="AC399" s="19">
        <v>0</v>
      </c>
      <c r="AD399" s="18">
        <f t="shared" si="622"/>
        <v>2710.8</v>
      </c>
      <c r="AE399" s="19">
        <v>0</v>
      </c>
      <c r="AF399" s="19">
        <v>0</v>
      </c>
      <c r="AG399" s="109">
        <f>2806-95.2</f>
        <v>2710.8</v>
      </c>
      <c r="AH399" s="19">
        <v>0</v>
      </c>
      <c r="AI399" s="18">
        <f t="shared" si="623"/>
        <v>2815.1000000000004</v>
      </c>
      <c r="AJ399" s="19">
        <v>0</v>
      </c>
      <c r="AK399" s="19">
        <v>0</v>
      </c>
      <c r="AL399" s="109">
        <f>2918.3-103.2</f>
        <v>2815.1000000000004</v>
      </c>
      <c r="AM399" s="19">
        <v>0</v>
      </c>
    </row>
    <row r="400" spans="1:39" s="2" customFormat="1" ht="31.5" outlineLevel="3" x14ac:dyDescent="0.25">
      <c r="A400" s="8" t="s">
        <v>252</v>
      </c>
      <c r="B400" s="33" t="s">
        <v>56</v>
      </c>
      <c r="C400" s="26" t="s">
        <v>32</v>
      </c>
      <c r="D400" s="26" t="s">
        <v>118</v>
      </c>
      <c r="E400" s="20">
        <f t="shared" si="615"/>
        <v>7184.1</v>
      </c>
      <c r="F400" s="38">
        <f t="shared" si="616"/>
        <v>0</v>
      </c>
      <c r="G400" s="38">
        <f t="shared" si="624"/>
        <v>0</v>
      </c>
      <c r="H400" s="38">
        <f t="shared" si="625"/>
        <v>7184.1</v>
      </c>
      <c r="I400" s="38">
        <f t="shared" si="617"/>
        <v>0</v>
      </c>
      <c r="J400" s="18">
        <f t="shared" si="618"/>
        <v>1289</v>
      </c>
      <c r="K400" s="19">
        <v>0</v>
      </c>
      <c r="L400" s="19">
        <v>0</v>
      </c>
      <c r="M400" s="19">
        <v>1289</v>
      </c>
      <c r="N400" s="19">
        <v>0</v>
      </c>
      <c r="O400" s="18">
        <f t="shared" si="619"/>
        <v>1155.9000000000001</v>
      </c>
      <c r="P400" s="19">
        <v>0</v>
      </c>
      <c r="Q400" s="19">
        <v>0</v>
      </c>
      <c r="R400" s="19">
        <v>1155.9000000000001</v>
      </c>
      <c r="S400" s="19">
        <v>0</v>
      </c>
      <c r="T400" s="18">
        <f t="shared" si="620"/>
        <v>1399.6</v>
      </c>
      <c r="U400" s="19">
        <v>0</v>
      </c>
      <c r="V400" s="19">
        <v>0</v>
      </c>
      <c r="W400" s="109">
        <v>1399.6</v>
      </c>
      <c r="X400" s="19">
        <v>0</v>
      </c>
      <c r="Y400" s="18">
        <f t="shared" si="621"/>
        <v>779.69999999999993</v>
      </c>
      <c r="Z400" s="19">
        <v>0</v>
      </c>
      <c r="AA400" s="19">
        <v>0</v>
      </c>
      <c r="AB400" s="109">
        <f>1236.1-3.8-452.6</f>
        <v>779.69999999999993</v>
      </c>
      <c r="AC400" s="19">
        <v>0</v>
      </c>
      <c r="AD400" s="18">
        <f t="shared" si="622"/>
        <v>1255.8000000000002</v>
      </c>
      <c r="AE400" s="19">
        <v>0</v>
      </c>
      <c r="AF400" s="19">
        <v>0</v>
      </c>
      <c r="AG400" s="109">
        <f>1299.9-44.1</f>
        <v>1255.8000000000002</v>
      </c>
      <c r="AH400" s="19">
        <v>0</v>
      </c>
      <c r="AI400" s="18">
        <f t="shared" si="623"/>
        <v>1304.1000000000001</v>
      </c>
      <c r="AJ400" s="19">
        <v>0</v>
      </c>
      <c r="AK400" s="19">
        <v>0</v>
      </c>
      <c r="AL400" s="109">
        <f>1351.9-47.8</f>
        <v>1304.1000000000001</v>
      </c>
      <c r="AM400" s="19">
        <v>0</v>
      </c>
    </row>
    <row r="401" spans="1:39" s="2" customFormat="1" ht="31.5" outlineLevel="3" x14ac:dyDescent="0.25">
      <c r="A401" s="8" t="s">
        <v>253</v>
      </c>
      <c r="B401" s="33" t="s">
        <v>57</v>
      </c>
      <c r="C401" s="26" t="s">
        <v>32</v>
      </c>
      <c r="D401" s="26" t="s">
        <v>118</v>
      </c>
      <c r="E401" s="20">
        <f t="shared" si="615"/>
        <v>4480.3</v>
      </c>
      <c r="F401" s="38">
        <f t="shared" si="616"/>
        <v>0</v>
      </c>
      <c r="G401" s="38">
        <f t="shared" si="624"/>
        <v>0</v>
      </c>
      <c r="H401" s="38">
        <f t="shared" si="625"/>
        <v>4480.3</v>
      </c>
      <c r="I401" s="38">
        <f t="shared" si="617"/>
        <v>0</v>
      </c>
      <c r="J401" s="18">
        <f t="shared" si="618"/>
        <v>596.5</v>
      </c>
      <c r="K401" s="19">
        <v>0</v>
      </c>
      <c r="L401" s="19">
        <v>0</v>
      </c>
      <c r="M401" s="19">
        <v>596.5</v>
      </c>
      <c r="N401" s="19">
        <v>0</v>
      </c>
      <c r="O401" s="18">
        <f t="shared" si="619"/>
        <v>648.20000000000005</v>
      </c>
      <c r="P401" s="19">
        <v>0</v>
      </c>
      <c r="Q401" s="19">
        <v>0</v>
      </c>
      <c r="R401" s="19">
        <v>648.20000000000005</v>
      </c>
      <c r="S401" s="19">
        <v>0</v>
      </c>
      <c r="T401" s="18">
        <f t="shared" si="620"/>
        <v>729.6</v>
      </c>
      <c r="U401" s="19">
        <v>0</v>
      </c>
      <c r="V401" s="19">
        <v>0</v>
      </c>
      <c r="W401" s="109">
        <v>729.6</v>
      </c>
      <c r="X401" s="19">
        <v>0</v>
      </c>
      <c r="Y401" s="18">
        <f t="shared" si="621"/>
        <v>814.3</v>
      </c>
      <c r="Z401" s="19">
        <v>0</v>
      </c>
      <c r="AA401" s="19">
        <v>0</v>
      </c>
      <c r="AB401" s="109">
        <f>816.8-2.5</f>
        <v>814.3</v>
      </c>
      <c r="AC401" s="19">
        <v>0</v>
      </c>
      <c r="AD401" s="18">
        <f t="shared" si="622"/>
        <v>829.9</v>
      </c>
      <c r="AE401" s="19">
        <v>0</v>
      </c>
      <c r="AF401" s="19">
        <v>0</v>
      </c>
      <c r="AG401" s="109">
        <f>859-29.1</f>
        <v>829.9</v>
      </c>
      <c r="AH401" s="19">
        <v>0</v>
      </c>
      <c r="AI401" s="18">
        <f t="shared" si="623"/>
        <v>861.8</v>
      </c>
      <c r="AJ401" s="19">
        <v>0</v>
      </c>
      <c r="AK401" s="19">
        <v>0</v>
      </c>
      <c r="AL401" s="109">
        <f>893.3-31.5</f>
        <v>861.8</v>
      </c>
      <c r="AM401" s="19">
        <v>0</v>
      </c>
    </row>
    <row r="402" spans="1:39" s="2" customFormat="1" ht="31.5" outlineLevel="3" x14ac:dyDescent="0.25">
      <c r="A402" s="8" t="s">
        <v>419</v>
      </c>
      <c r="B402" s="33" t="s">
        <v>58</v>
      </c>
      <c r="C402" s="26" t="s">
        <v>32</v>
      </c>
      <c r="D402" s="26" t="s">
        <v>118</v>
      </c>
      <c r="E402" s="20">
        <f t="shared" si="615"/>
        <v>13764.599999999999</v>
      </c>
      <c r="F402" s="38">
        <f t="shared" si="616"/>
        <v>0</v>
      </c>
      <c r="G402" s="38">
        <f t="shared" si="624"/>
        <v>0</v>
      </c>
      <c r="H402" s="38">
        <f t="shared" si="625"/>
        <v>13764.599999999999</v>
      </c>
      <c r="I402" s="38">
        <f t="shared" si="617"/>
        <v>0</v>
      </c>
      <c r="J402" s="18">
        <f t="shared" si="618"/>
        <v>1809.9</v>
      </c>
      <c r="K402" s="19">
        <v>0</v>
      </c>
      <c r="L402" s="19">
        <v>0</v>
      </c>
      <c r="M402" s="19">
        <v>1809.9</v>
      </c>
      <c r="N402" s="19">
        <v>0</v>
      </c>
      <c r="O402" s="18">
        <f t="shared" si="619"/>
        <v>1929.9</v>
      </c>
      <c r="P402" s="19">
        <v>0</v>
      </c>
      <c r="Q402" s="19">
        <v>0</v>
      </c>
      <c r="R402" s="19">
        <v>1929.9</v>
      </c>
      <c r="S402" s="19">
        <v>0</v>
      </c>
      <c r="T402" s="18">
        <f t="shared" si="620"/>
        <v>2189.5</v>
      </c>
      <c r="U402" s="19">
        <v>0</v>
      </c>
      <c r="V402" s="19">
        <v>0</v>
      </c>
      <c r="W402" s="109">
        <v>2189.5</v>
      </c>
      <c r="X402" s="19">
        <v>0</v>
      </c>
      <c r="Y402" s="18">
        <f t="shared" si="621"/>
        <v>2546.1</v>
      </c>
      <c r="Z402" s="19">
        <v>0</v>
      </c>
      <c r="AA402" s="19">
        <v>0</v>
      </c>
      <c r="AB402" s="109">
        <f>2553.9-7.8</f>
        <v>2546.1</v>
      </c>
      <c r="AC402" s="19">
        <v>0</v>
      </c>
      <c r="AD402" s="18">
        <f t="shared" si="622"/>
        <v>2594.6999999999998</v>
      </c>
      <c r="AE402" s="19">
        <v>0</v>
      </c>
      <c r="AF402" s="19">
        <v>0</v>
      </c>
      <c r="AG402" s="109">
        <f>2685.7-91</f>
        <v>2594.6999999999998</v>
      </c>
      <c r="AH402" s="19">
        <v>0</v>
      </c>
      <c r="AI402" s="18">
        <f t="shared" si="623"/>
        <v>2694.5</v>
      </c>
      <c r="AJ402" s="19">
        <v>0</v>
      </c>
      <c r="AK402" s="19">
        <v>0</v>
      </c>
      <c r="AL402" s="109">
        <f>2793.2-98.7</f>
        <v>2694.5</v>
      </c>
      <c r="AM402" s="19">
        <v>0</v>
      </c>
    </row>
    <row r="403" spans="1:39" s="2" customFormat="1" ht="39.75" customHeight="1" outlineLevel="2" x14ac:dyDescent="0.25">
      <c r="A403" s="165" t="s">
        <v>30</v>
      </c>
      <c r="B403" s="201" t="s">
        <v>571</v>
      </c>
      <c r="C403" s="201"/>
      <c r="D403" s="202"/>
      <c r="E403" s="20">
        <f>SUM(E404:E408)</f>
        <v>5366.6</v>
      </c>
      <c r="F403" s="20">
        <f t="shared" ref="F403:AM403" si="626">SUM(F404:F408)</f>
        <v>0</v>
      </c>
      <c r="G403" s="20">
        <f t="shared" si="626"/>
        <v>0</v>
      </c>
      <c r="H403" s="20">
        <f t="shared" si="626"/>
        <v>5366.6</v>
      </c>
      <c r="I403" s="20">
        <f t="shared" si="626"/>
        <v>0</v>
      </c>
      <c r="J403" s="20">
        <f>SUM(J404:J408)</f>
        <v>788.90000000000009</v>
      </c>
      <c r="K403" s="20">
        <f t="shared" si="626"/>
        <v>0</v>
      </c>
      <c r="L403" s="20">
        <f t="shared" si="626"/>
        <v>0</v>
      </c>
      <c r="M403" s="20">
        <f t="shared" si="626"/>
        <v>788.90000000000009</v>
      </c>
      <c r="N403" s="20">
        <f t="shared" si="626"/>
        <v>0</v>
      </c>
      <c r="O403" s="20">
        <f t="shared" si="626"/>
        <v>244</v>
      </c>
      <c r="P403" s="20">
        <f t="shared" si="626"/>
        <v>0</v>
      </c>
      <c r="Q403" s="20">
        <f t="shared" si="626"/>
        <v>0</v>
      </c>
      <c r="R403" s="20">
        <f t="shared" si="626"/>
        <v>244</v>
      </c>
      <c r="S403" s="20">
        <f t="shared" si="626"/>
        <v>0</v>
      </c>
      <c r="T403" s="20">
        <f t="shared" si="626"/>
        <v>2917</v>
      </c>
      <c r="U403" s="20">
        <f t="shared" si="626"/>
        <v>0</v>
      </c>
      <c r="V403" s="20">
        <f t="shared" si="626"/>
        <v>0</v>
      </c>
      <c r="W403" s="20">
        <f t="shared" si="626"/>
        <v>2917</v>
      </c>
      <c r="X403" s="20">
        <f t="shared" si="626"/>
        <v>0</v>
      </c>
      <c r="Y403" s="20">
        <f t="shared" si="626"/>
        <v>1416.7</v>
      </c>
      <c r="Z403" s="20">
        <f t="shared" si="626"/>
        <v>0</v>
      </c>
      <c r="AA403" s="20">
        <f t="shared" si="626"/>
        <v>0</v>
      </c>
      <c r="AB403" s="20">
        <f t="shared" si="626"/>
        <v>1416.7</v>
      </c>
      <c r="AC403" s="20">
        <f t="shared" si="626"/>
        <v>0</v>
      </c>
      <c r="AD403" s="20">
        <f t="shared" si="626"/>
        <v>0</v>
      </c>
      <c r="AE403" s="20">
        <f t="shared" si="626"/>
        <v>0</v>
      </c>
      <c r="AF403" s="20">
        <f t="shared" si="626"/>
        <v>0</v>
      </c>
      <c r="AG403" s="20">
        <f t="shared" si="626"/>
        <v>0</v>
      </c>
      <c r="AH403" s="20">
        <f t="shared" si="626"/>
        <v>0</v>
      </c>
      <c r="AI403" s="20">
        <f t="shared" si="626"/>
        <v>0</v>
      </c>
      <c r="AJ403" s="20">
        <f t="shared" si="626"/>
        <v>0</v>
      </c>
      <c r="AK403" s="20">
        <f t="shared" si="626"/>
        <v>0</v>
      </c>
      <c r="AL403" s="20">
        <f t="shared" si="626"/>
        <v>0</v>
      </c>
      <c r="AM403" s="20">
        <f t="shared" si="626"/>
        <v>0</v>
      </c>
    </row>
    <row r="404" spans="1:39" s="2" customFormat="1" ht="47.25" outlineLevel="3" x14ac:dyDescent="0.25">
      <c r="A404" s="8" t="s">
        <v>306</v>
      </c>
      <c r="B404" s="33" t="s">
        <v>276</v>
      </c>
      <c r="C404" s="26" t="s">
        <v>31</v>
      </c>
      <c r="D404" s="26" t="s">
        <v>118</v>
      </c>
      <c r="E404" s="20">
        <f>SUM(F404:I404)</f>
        <v>495.6</v>
      </c>
      <c r="F404" s="20">
        <f>K404</f>
        <v>0</v>
      </c>
      <c r="G404" s="38">
        <f t="shared" ref="G404:H406" si="627">L404+Q404+V404+AA404+AF404+AK404</f>
        <v>0</v>
      </c>
      <c r="H404" s="38">
        <f t="shared" si="627"/>
        <v>495.6</v>
      </c>
      <c r="I404" s="38">
        <f>N404+S404+X404+AC404+AH404+AM404</f>
        <v>0</v>
      </c>
      <c r="J404" s="18">
        <f>SUM(K404:N404)</f>
        <v>495.6</v>
      </c>
      <c r="K404" s="19">
        <v>0</v>
      </c>
      <c r="L404" s="19">
        <v>0</v>
      </c>
      <c r="M404" s="19">
        <v>495.6</v>
      </c>
      <c r="N404" s="19">
        <v>0</v>
      </c>
      <c r="O404" s="18">
        <f>SUM(P404:S404)</f>
        <v>0</v>
      </c>
      <c r="P404" s="19">
        <v>0</v>
      </c>
      <c r="Q404" s="19">
        <v>0</v>
      </c>
      <c r="R404" s="19">
        <v>0</v>
      </c>
      <c r="S404" s="19">
        <v>0</v>
      </c>
      <c r="T404" s="19">
        <v>0</v>
      </c>
      <c r="U404" s="19">
        <v>0</v>
      </c>
      <c r="V404" s="19">
        <v>0</v>
      </c>
      <c r="W404" s="19">
        <v>0</v>
      </c>
      <c r="X404" s="19">
        <v>0</v>
      </c>
      <c r="Y404" s="18">
        <f>SUM(Z404:AC404)</f>
        <v>0</v>
      </c>
      <c r="Z404" s="19">
        <v>0</v>
      </c>
      <c r="AA404" s="19">
        <v>0</v>
      </c>
      <c r="AB404" s="19">
        <v>0</v>
      </c>
      <c r="AC404" s="19">
        <v>0</v>
      </c>
      <c r="AD404" s="18">
        <f>SUM(AE404:AH404)</f>
        <v>0</v>
      </c>
      <c r="AE404" s="19">
        <v>0</v>
      </c>
      <c r="AF404" s="19">
        <v>0</v>
      </c>
      <c r="AG404" s="19">
        <v>0</v>
      </c>
      <c r="AH404" s="19">
        <v>0</v>
      </c>
      <c r="AI404" s="18">
        <f>SUM(AJ404:AM404)</f>
        <v>0</v>
      </c>
      <c r="AJ404" s="19">
        <v>0</v>
      </c>
      <c r="AK404" s="19">
        <v>0</v>
      </c>
      <c r="AL404" s="19">
        <v>0</v>
      </c>
      <c r="AM404" s="19">
        <v>0</v>
      </c>
    </row>
    <row r="405" spans="1:39" s="2" customFormat="1" ht="63" outlineLevel="3" x14ac:dyDescent="0.25">
      <c r="A405" s="8" t="s">
        <v>394</v>
      </c>
      <c r="B405" s="33" t="s">
        <v>393</v>
      </c>
      <c r="C405" s="26" t="s">
        <v>32</v>
      </c>
      <c r="D405" s="26" t="s">
        <v>118</v>
      </c>
      <c r="E405" s="20">
        <f>SUM(F405:I405)</f>
        <v>293.3</v>
      </c>
      <c r="F405" s="20">
        <f>K405</f>
        <v>0</v>
      </c>
      <c r="G405" s="38">
        <f t="shared" si="627"/>
        <v>0</v>
      </c>
      <c r="H405" s="38">
        <f t="shared" si="627"/>
        <v>293.3</v>
      </c>
      <c r="I405" s="38">
        <f>N405+S405+X405+AC405+AH405+AM405</f>
        <v>0</v>
      </c>
      <c r="J405" s="18">
        <f>SUM(K405:N405)</f>
        <v>293.3</v>
      </c>
      <c r="K405" s="19">
        <v>0</v>
      </c>
      <c r="L405" s="19">
        <v>0</v>
      </c>
      <c r="M405" s="19">
        <v>293.3</v>
      </c>
      <c r="N405" s="19">
        <v>0</v>
      </c>
      <c r="O405" s="18">
        <f>SUM(P405:S405)</f>
        <v>0</v>
      </c>
      <c r="P405" s="19">
        <v>0</v>
      </c>
      <c r="Q405" s="19">
        <v>0</v>
      </c>
      <c r="R405" s="19">
        <v>0</v>
      </c>
      <c r="S405" s="19">
        <v>0</v>
      </c>
      <c r="T405" s="19">
        <v>0</v>
      </c>
      <c r="U405" s="19">
        <v>0</v>
      </c>
      <c r="V405" s="19">
        <v>0</v>
      </c>
      <c r="W405" s="19">
        <v>0</v>
      </c>
      <c r="X405" s="19">
        <v>0</v>
      </c>
      <c r="Y405" s="18">
        <f>SUM(Z405:AC405)</f>
        <v>0</v>
      </c>
      <c r="Z405" s="19">
        <v>0</v>
      </c>
      <c r="AA405" s="19">
        <v>0</v>
      </c>
      <c r="AB405" s="19">
        <v>0</v>
      </c>
      <c r="AC405" s="19">
        <v>0</v>
      </c>
      <c r="AD405" s="18">
        <f>SUM(AE405:AH405)</f>
        <v>0</v>
      </c>
      <c r="AE405" s="19">
        <v>0</v>
      </c>
      <c r="AF405" s="19">
        <v>0</v>
      </c>
      <c r="AG405" s="19">
        <v>0</v>
      </c>
      <c r="AH405" s="19">
        <v>0</v>
      </c>
      <c r="AI405" s="18">
        <f>SUM(AJ405:AM405)</f>
        <v>0</v>
      </c>
      <c r="AJ405" s="19">
        <v>0</v>
      </c>
      <c r="AK405" s="19">
        <v>0</v>
      </c>
      <c r="AL405" s="19">
        <v>0</v>
      </c>
      <c r="AM405" s="19">
        <v>0</v>
      </c>
    </row>
    <row r="406" spans="1:39" s="2" customFormat="1" ht="31.5" outlineLevel="3" x14ac:dyDescent="0.25">
      <c r="A406" s="8" t="s">
        <v>706</v>
      </c>
      <c r="B406" s="33" t="s">
        <v>570</v>
      </c>
      <c r="C406" s="26" t="s">
        <v>32</v>
      </c>
      <c r="D406" s="26" t="s">
        <v>118</v>
      </c>
      <c r="E406" s="20">
        <f>SUM(F406:I406)</f>
        <v>244</v>
      </c>
      <c r="F406" s="20">
        <f>K406</f>
        <v>0</v>
      </c>
      <c r="G406" s="38">
        <f t="shared" si="627"/>
        <v>0</v>
      </c>
      <c r="H406" s="38">
        <f t="shared" si="627"/>
        <v>244</v>
      </c>
      <c r="I406" s="38">
        <f>N406+S406+X406+AC406+AH406+AM406</f>
        <v>0</v>
      </c>
      <c r="J406" s="18">
        <f>SUM(K406:N406)</f>
        <v>0</v>
      </c>
      <c r="K406" s="19">
        <v>0</v>
      </c>
      <c r="L406" s="19">
        <v>0</v>
      </c>
      <c r="M406" s="19">
        <v>0</v>
      </c>
      <c r="N406" s="19">
        <v>0</v>
      </c>
      <c r="O406" s="18">
        <f>SUM(P406:S406)</f>
        <v>244</v>
      </c>
      <c r="P406" s="19">
        <v>0</v>
      </c>
      <c r="Q406" s="19">
        <v>0</v>
      </c>
      <c r="R406" s="19">
        <v>244</v>
      </c>
      <c r="S406" s="19">
        <v>0</v>
      </c>
      <c r="T406" s="19">
        <v>0</v>
      </c>
      <c r="U406" s="19">
        <v>0</v>
      </c>
      <c r="V406" s="19">
        <v>0</v>
      </c>
      <c r="W406" s="19">
        <v>0</v>
      </c>
      <c r="X406" s="19">
        <v>0</v>
      </c>
      <c r="Y406" s="18">
        <f>SUM(Z406:AC406)</f>
        <v>0</v>
      </c>
      <c r="Z406" s="19">
        <v>0</v>
      </c>
      <c r="AA406" s="19">
        <v>0</v>
      </c>
      <c r="AB406" s="19">
        <v>0</v>
      </c>
      <c r="AC406" s="19">
        <v>0</v>
      </c>
      <c r="AD406" s="18">
        <f>SUM(AE406:AH406)</f>
        <v>0</v>
      </c>
      <c r="AE406" s="19">
        <v>0</v>
      </c>
      <c r="AF406" s="19">
        <v>0</v>
      </c>
      <c r="AG406" s="19">
        <v>0</v>
      </c>
      <c r="AH406" s="19">
        <v>0</v>
      </c>
      <c r="AI406" s="18">
        <f>SUM(AJ406:AM406)</f>
        <v>0</v>
      </c>
      <c r="AJ406" s="19">
        <v>0</v>
      </c>
      <c r="AK406" s="19">
        <v>0</v>
      </c>
      <c r="AL406" s="19">
        <v>0</v>
      </c>
      <c r="AM406" s="19">
        <v>0</v>
      </c>
    </row>
    <row r="407" spans="1:39" s="2" customFormat="1" ht="31.5" outlineLevel="2" x14ac:dyDescent="0.25">
      <c r="A407" s="8" t="s">
        <v>870</v>
      </c>
      <c r="B407" s="54" t="s">
        <v>838</v>
      </c>
      <c r="C407" s="26" t="s">
        <v>32</v>
      </c>
      <c r="D407" s="26" t="s">
        <v>118</v>
      </c>
      <c r="E407" s="20">
        <f>SUM(F407:I407)</f>
        <v>1500</v>
      </c>
      <c r="F407" s="38">
        <f>K407+P407+U407</f>
        <v>0</v>
      </c>
      <c r="G407" s="38">
        <f>L407+Q407+V407+AA407+AF407+AK407</f>
        <v>0</v>
      </c>
      <c r="H407" s="38">
        <f>M407+R407+W407+AB407+AG407+AL407</f>
        <v>1500</v>
      </c>
      <c r="I407" s="38">
        <f>N407+S407+X407+AC407+AH407+AM407</f>
        <v>0</v>
      </c>
      <c r="J407" s="18">
        <f>SUM(K407:N407)</f>
        <v>0</v>
      </c>
      <c r="K407" s="19">
        <v>0</v>
      </c>
      <c r="L407" s="19">
        <v>0</v>
      </c>
      <c r="M407" s="19">
        <v>0</v>
      </c>
      <c r="N407" s="19">
        <v>0</v>
      </c>
      <c r="O407" s="18">
        <f>Q407+R407+S407</f>
        <v>0</v>
      </c>
      <c r="P407" s="19"/>
      <c r="Q407" s="19">
        <v>0</v>
      </c>
      <c r="R407" s="19">
        <v>0</v>
      </c>
      <c r="S407" s="19">
        <v>0</v>
      </c>
      <c r="T407" s="18">
        <f>SUM(U407:X407)</f>
        <v>1500</v>
      </c>
      <c r="U407" s="19"/>
      <c r="V407" s="19"/>
      <c r="W407" s="19">
        <v>1500</v>
      </c>
      <c r="X407" s="19">
        <v>0</v>
      </c>
      <c r="Y407" s="18">
        <f t="shared" ref="Y407:Y408" si="628">SUM(Z407:AC407)</f>
        <v>0</v>
      </c>
      <c r="Z407" s="19">
        <v>0</v>
      </c>
      <c r="AA407" s="19">
        <v>0</v>
      </c>
      <c r="AB407" s="19">
        <v>0</v>
      </c>
      <c r="AC407" s="19">
        <v>0</v>
      </c>
      <c r="AD407" s="18">
        <f t="shared" ref="AD407:AD408" si="629">SUM(AE407:AH407)</f>
        <v>0</v>
      </c>
      <c r="AE407" s="19">
        <v>0</v>
      </c>
      <c r="AF407" s="19">
        <v>0</v>
      </c>
      <c r="AG407" s="19">
        <v>0</v>
      </c>
      <c r="AH407" s="19">
        <v>0</v>
      </c>
      <c r="AI407" s="18">
        <f t="shared" ref="AI407:AI408" si="630">SUM(AJ407:AM407)</f>
        <v>0</v>
      </c>
      <c r="AJ407" s="19">
        <v>0</v>
      </c>
      <c r="AK407" s="19">
        <v>0</v>
      </c>
      <c r="AL407" s="19">
        <v>0</v>
      </c>
      <c r="AM407" s="19">
        <v>0</v>
      </c>
    </row>
    <row r="408" spans="1:39" s="2" customFormat="1" ht="63" outlineLevel="2" x14ac:dyDescent="0.25">
      <c r="A408" s="8" t="s">
        <v>953</v>
      </c>
      <c r="B408" s="54" t="s">
        <v>960</v>
      </c>
      <c r="C408" s="26" t="s">
        <v>32</v>
      </c>
      <c r="D408" s="26" t="s">
        <v>118</v>
      </c>
      <c r="E408" s="20">
        <f>SUM(F408:I408)</f>
        <v>2833.7</v>
      </c>
      <c r="F408" s="38">
        <f>K408+P408+U408</f>
        <v>0</v>
      </c>
      <c r="G408" s="38">
        <f>L408+Q408+V408+AA408+AF408+AK408</f>
        <v>0</v>
      </c>
      <c r="H408" s="38">
        <f>M408+R408+W408+AB408+AG408+AL408</f>
        <v>2833.7</v>
      </c>
      <c r="I408" s="38">
        <f>N408+S408+X408+AC408+AH408+AM408</f>
        <v>0</v>
      </c>
      <c r="J408" s="18">
        <f>SUM(K408:N408)</f>
        <v>0</v>
      </c>
      <c r="K408" s="19">
        <v>0</v>
      </c>
      <c r="L408" s="19">
        <v>0</v>
      </c>
      <c r="M408" s="19">
        <v>0</v>
      </c>
      <c r="N408" s="19">
        <v>0</v>
      </c>
      <c r="O408" s="18">
        <f>Q408+R408+S408</f>
        <v>0</v>
      </c>
      <c r="P408" s="19"/>
      <c r="Q408" s="19">
        <v>0</v>
      </c>
      <c r="R408" s="19">
        <v>0</v>
      </c>
      <c r="S408" s="19">
        <v>0</v>
      </c>
      <c r="T408" s="18">
        <f>SUM(U408:X408)</f>
        <v>1417</v>
      </c>
      <c r="U408" s="19"/>
      <c r="V408" s="19"/>
      <c r="W408" s="19">
        <v>1417</v>
      </c>
      <c r="X408" s="19">
        <v>0</v>
      </c>
      <c r="Y408" s="18">
        <f t="shared" si="628"/>
        <v>1416.7</v>
      </c>
      <c r="Z408" s="19">
        <v>0</v>
      </c>
      <c r="AA408" s="19">
        <v>0</v>
      </c>
      <c r="AB408" s="19">
        <v>1416.7</v>
      </c>
      <c r="AC408" s="19">
        <v>0</v>
      </c>
      <c r="AD408" s="18">
        <f t="shared" si="629"/>
        <v>0</v>
      </c>
      <c r="AE408" s="19">
        <v>0</v>
      </c>
      <c r="AF408" s="19">
        <v>0</v>
      </c>
      <c r="AG408" s="19">
        <v>0</v>
      </c>
      <c r="AH408" s="19">
        <v>0</v>
      </c>
      <c r="AI408" s="18">
        <f t="shared" si="630"/>
        <v>0</v>
      </c>
      <c r="AJ408" s="19">
        <v>0</v>
      </c>
      <c r="AK408" s="19">
        <v>0</v>
      </c>
      <c r="AL408" s="19">
        <v>0</v>
      </c>
      <c r="AM408" s="19">
        <v>0</v>
      </c>
    </row>
    <row r="409" spans="1:39" s="2" customFormat="1" ht="39.75" customHeight="1" outlineLevel="2" x14ac:dyDescent="0.25">
      <c r="A409" s="165" t="s">
        <v>495</v>
      </c>
      <c r="B409" s="201" t="s">
        <v>537</v>
      </c>
      <c r="C409" s="201"/>
      <c r="D409" s="202"/>
      <c r="E409" s="20">
        <f>SUM(E410:E420)</f>
        <v>6530.6</v>
      </c>
      <c r="F409" s="20">
        <f>SUM(F410:F420)</f>
        <v>0</v>
      </c>
      <c r="G409" s="20">
        <f t="shared" ref="G409:AM409" si="631">SUM(G410:G420)</f>
        <v>0</v>
      </c>
      <c r="H409" s="20">
        <f t="shared" si="631"/>
        <v>6530.6</v>
      </c>
      <c r="I409" s="20">
        <f t="shared" si="631"/>
        <v>0</v>
      </c>
      <c r="J409" s="20">
        <f t="shared" si="631"/>
        <v>0</v>
      </c>
      <c r="K409" s="20">
        <f t="shared" si="631"/>
        <v>0</v>
      </c>
      <c r="L409" s="20">
        <f t="shared" si="631"/>
        <v>0</v>
      </c>
      <c r="M409" s="20">
        <f t="shared" si="631"/>
        <v>0</v>
      </c>
      <c r="N409" s="20">
        <f t="shared" si="631"/>
        <v>0</v>
      </c>
      <c r="O409" s="20">
        <f t="shared" si="631"/>
        <v>2308.7000000000003</v>
      </c>
      <c r="P409" s="20">
        <f t="shared" si="631"/>
        <v>0</v>
      </c>
      <c r="Q409" s="20">
        <f t="shared" si="631"/>
        <v>0</v>
      </c>
      <c r="R409" s="20">
        <f t="shared" si="631"/>
        <v>2308.7000000000003</v>
      </c>
      <c r="S409" s="20">
        <f t="shared" si="631"/>
        <v>0</v>
      </c>
      <c r="T409" s="20">
        <f t="shared" si="631"/>
        <v>831.4</v>
      </c>
      <c r="U409" s="20">
        <f t="shared" si="631"/>
        <v>0</v>
      </c>
      <c r="V409" s="20">
        <f t="shared" si="631"/>
        <v>0</v>
      </c>
      <c r="W409" s="20">
        <f t="shared" si="631"/>
        <v>831.4</v>
      </c>
      <c r="X409" s="20">
        <f t="shared" si="631"/>
        <v>0</v>
      </c>
      <c r="Y409" s="20">
        <f t="shared" si="631"/>
        <v>3390.5</v>
      </c>
      <c r="Z409" s="20">
        <f t="shared" si="631"/>
        <v>0</v>
      </c>
      <c r="AA409" s="20">
        <f t="shared" si="631"/>
        <v>0</v>
      </c>
      <c r="AB409" s="20">
        <f t="shared" si="631"/>
        <v>3390.5</v>
      </c>
      <c r="AC409" s="20">
        <f t="shared" si="631"/>
        <v>0</v>
      </c>
      <c r="AD409" s="20">
        <f t="shared" si="631"/>
        <v>0</v>
      </c>
      <c r="AE409" s="20">
        <f t="shared" si="631"/>
        <v>0</v>
      </c>
      <c r="AF409" s="20">
        <f t="shared" si="631"/>
        <v>0</v>
      </c>
      <c r="AG409" s="20">
        <f t="shared" si="631"/>
        <v>0</v>
      </c>
      <c r="AH409" s="20">
        <f t="shared" si="631"/>
        <v>0</v>
      </c>
      <c r="AI409" s="20">
        <f t="shared" si="631"/>
        <v>0</v>
      </c>
      <c r="AJ409" s="20">
        <f t="shared" si="631"/>
        <v>0</v>
      </c>
      <c r="AK409" s="20">
        <f t="shared" si="631"/>
        <v>0</v>
      </c>
      <c r="AL409" s="20">
        <f t="shared" si="631"/>
        <v>0</v>
      </c>
      <c r="AM409" s="20">
        <f t="shared" si="631"/>
        <v>0</v>
      </c>
    </row>
    <row r="410" spans="1:39" s="2" customFormat="1" ht="31.5" outlineLevel="3" x14ac:dyDescent="0.25">
      <c r="A410" s="8" t="s">
        <v>496</v>
      </c>
      <c r="B410" s="33" t="s">
        <v>517</v>
      </c>
      <c r="C410" s="26" t="s">
        <v>32</v>
      </c>
      <c r="D410" s="26" t="s">
        <v>118</v>
      </c>
      <c r="E410" s="20">
        <f t="shared" ref="E410:E419" si="632">SUM(F410:I410)</f>
        <v>257.60000000000002</v>
      </c>
      <c r="F410" s="20">
        <f t="shared" ref="F410:F415" si="633">K410</f>
        <v>0</v>
      </c>
      <c r="G410" s="38">
        <f t="shared" ref="G410:H415" si="634">L410+Q410+V410+AA410+AF410+AK410</f>
        <v>0</v>
      </c>
      <c r="H410" s="38">
        <f>M410+R410+W410+AB410+AG410+AL410</f>
        <v>257.60000000000002</v>
      </c>
      <c r="I410" s="38">
        <f t="shared" ref="I410:I415" si="635">N410+S410+X410+AC410+AH410+AM410</f>
        <v>0</v>
      </c>
      <c r="J410" s="18">
        <f t="shared" ref="J410:J415" si="636">SUM(K410:N410)</f>
        <v>0</v>
      </c>
      <c r="K410" s="19">
        <v>0</v>
      </c>
      <c r="L410" s="19">
        <v>0</v>
      </c>
      <c r="M410" s="19">
        <v>0</v>
      </c>
      <c r="N410" s="19">
        <v>0</v>
      </c>
      <c r="O410" s="18">
        <f t="shared" ref="O410:O415" si="637">SUM(P410:S410)</f>
        <v>103.7</v>
      </c>
      <c r="P410" s="19">
        <v>0</v>
      </c>
      <c r="Q410" s="19">
        <v>0</v>
      </c>
      <c r="R410" s="19">
        <v>103.7</v>
      </c>
      <c r="S410" s="19">
        <v>0</v>
      </c>
      <c r="T410" s="18">
        <f>W410</f>
        <v>153.9</v>
      </c>
      <c r="U410" s="19"/>
      <c r="V410" s="19">
        <v>0</v>
      </c>
      <c r="W410" s="19">
        <f>86.7+67.2</f>
        <v>153.9</v>
      </c>
      <c r="X410" s="19">
        <v>0</v>
      </c>
      <c r="Y410" s="18">
        <f t="shared" ref="Y410:Y418" si="638">SUM(Z410:AC410)</f>
        <v>0</v>
      </c>
      <c r="Z410" s="19">
        <v>0</v>
      </c>
      <c r="AA410" s="19">
        <v>0</v>
      </c>
      <c r="AB410" s="19">
        <v>0</v>
      </c>
      <c r="AC410" s="19">
        <v>0</v>
      </c>
      <c r="AD410" s="18">
        <f t="shared" ref="AD410:AD415" si="639">SUM(AE410:AH410)</f>
        <v>0</v>
      </c>
      <c r="AE410" s="19">
        <v>0</v>
      </c>
      <c r="AF410" s="19">
        <v>0</v>
      </c>
      <c r="AG410" s="19">
        <v>0</v>
      </c>
      <c r="AH410" s="19">
        <v>0</v>
      </c>
      <c r="AI410" s="18">
        <f t="shared" ref="AI410:AI415" si="640">SUM(AJ410:AM410)</f>
        <v>0</v>
      </c>
      <c r="AJ410" s="19">
        <v>0</v>
      </c>
      <c r="AK410" s="19">
        <v>0</v>
      </c>
      <c r="AL410" s="19">
        <v>0</v>
      </c>
      <c r="AM410" s="19">
        <v>0</v>
      </c>
    </row>
    <row r="411" spans="1:39" s="2" customFormat="1" ht="31.5" outlineLevel="3" x14ac:dyDescent="0.25">
      <c r="A411" s="8" t="s">
        <v>497</v>
      </c>
      <c r="B411" s="33" t="s">
        <v>518</v>
      </c>
      <c r="C411" s="26" t="s">
        <v>32</v>
      </c>
      <c r="D411" s="26" t="s">
        <v>118</v>
      </c>
      <c r="E411" s="20">
        <f t="shared" si="632"/>
        <v>88.8</v>
      </c>
      <c r="F411" s="20">
        <f>K411</f>
        <v>0</v>
      </c>
      <c r="G411" s="38">
        <f t="shared" si="634"/>
        <v>0</v>
      </c>
      <c r="H411" s="38">
        <f t="shared" si="634"/>
        <v>88.8</v>
      </c>
      <c r="I411" s="38">
        <f>N411+S411+X411+AC411+AH411+AM411</f>
        <v>0</v>
      </c>
      <c r="J411" s="18">
        <f>SUM(K411:N411)</f>
        <v>0</v>
      </c>
      <c r="K411" s="19">
        <v>0</v>
      </c>
      <c r="L411" s="19">
        <v>0</v>
      </c>
      <c r="M411" s="19">
        <v>0</v>
      </c>
      <c r="N411" s="19">
        <v>0</v>
      </c>
      <c r="O411" s="18">
        <f>SUM(P411:S411)</f>
        <v>88.8</v>
      </c>
      <c r="P411" s="19">
        <v>0</v>
      </c>
      <c r="Q411" s="19">
        <v>0</v>
      </c>
      <c r="R411" s="19">
        <v>88.8</v>
      </c>
      <c r="S411" s="19">
        <v>0</v>
      </c>
      <c r="T411" s="18">
        <v>0</v>
      </c>
      <c r="U411" s="19"/>
      <c r="V411" s="19">
        <v>0</v>
      </c>
      <c r="W411" s="19">
        <v>0</v>
      </c>
      <c r="X411" s="19">
        <v>0</v>
      </c>
      <c r="Y411" s="18">
        <f t="shared" si="638"/>
        <v>0</v>
      </c>
      <c r="Z411" s="19">
        <v>0</v>
      </c>
      <c r="AA411" s="19">
        <v>0</v>
      </c>
      <c r="AB411" s="19">
        <v>0</v>
      </c>
      <c r="AC411" s="19">
        <v>0</v>
      </c>
      <c r="AD411" s="18">
        <f>SUM(AE411:AH411)</f>
        <v>0</v>
      </c>
      <c r="AE411" s="19">
        <v>0</v>
      </c>
      <c r="AF411" s="19">
        <v>0</v>
      </c>
      <c r="AG411" s="19">
        <v>0</v>
      </c>
      <c r="AH411" s="19">
        <v>0</v>
      </c>
      <c r="AI411" s="18">
        <f>SUM(AJ411:AM411)</f>
        <v>0</v>
      </c>
      <c r="AJ411" s="19">
        <v>0</v>
      </c>
      <c r="AK411" s="19">
        <v>0</v>
      </c>
      <c r="AL411" s="19">
        <v>0</v>
      </c>
      <c r="AM411" s="19">
        <v>0</v>
      </c>
    </row>
    <row r="412" spans="1:39" s="2" customFormat="1" ht="31.5" outlineLevel="3" x14ac:dyDescent="0.25">
      <c r="A412" s="8" t="s">
        <v>514</v>
      </c>
      <c r="B412" s="33" t="s">
        <v>519</v>
      </c>
      <c r="C412" s="26" t="s">
        <v>32</v>
      </c>
      <c r="D412" s="26" t="s">
        <v>118</v>
      </c>
      <c r="E412" s="20">
        <f t="shared" si="632"/>
        <v>968</v>
      </c>
      <c r="F412" s="20">
        <f>K412</f>
        <v>0</v>
      </c>
      <c r="G412" s="38">
        <f t="shared" si="634"/>
        <v>0</v>
      </c>
      <c r="H412" s="38">
        <f t="shared" si="634"/>
        <v>968</v>
      </c>
      <c r="I412" s="38">
        <f>N412+S412+X412+AC412+AH412+AM412</f>
        <v>0</v>
      </c>
      <c r="J412" s="18">
        <f>SUM(K412:N412)</f>
        <v>0</v>
      </c>
      <c r="K412" s="19">
        <v>0</v>
      </c>
      <c r="L412" s="19">
        <v>0</v>
      </c>
      <c r="M412" s="19">
        <v>0</v>
      </c>
      <c r="N412" s="19">
        <v>0</v>
      </c>
      <c r="O412" s="18">
        <f>SUM(P412:S412)</f>
        <v>968</v>
      </c>
      <c r="P412" s="19">
        <v>0</v>
      </c>
      <c r="Q412" s="19">
        <v>0</v>
      </c>
      <c r="R412" s="19">
        <f>972.8-4.8</f>
        <v>968</v>
      </c>
      <c r="S412" s="19">
        <v>0</v>
      </c>
      <c r="T412" s="18">
        <v>0</v>
      </c>
      <c r="U412" s="19"/>
      <c r="V412" s="19">
        <v>0</v>
      </c>
      <c r="W412" s="19">
        <v>0</v>
      </c>
      <c r="X412" s="19">
        <v>0</v>
      </c>
      <c r="Y412" s="18">
        <f t="shared" si="638"/>
        <v>0</v>
      </c>
      <c r="Z412" s="19">
        <v>0</v>
      </c>
      <c r="AA412" s="19">
        <v>0</v>
      </c>
      <c r="AB412" s="19">
        <v>0</v>
      </c>
      <c r="AC412" s="19">
        <v>0</v>
      </c>
      <c r="AD412" s="18">
        <f>SUM(AE412:AH412)</f>
        <v>0</v>
      </c>
      <c r="AE412" s="19">
        <v>0</v>
      </c>
      <c r="AF412" s="19">
        <v>0</v>
      </c>
      <c r="AG412" s="19">
        <v>0</v>
      </c>
      <c r="AH412" s="19">
        <v>0</v>
      </c>
      <c r="AI412" s="18">
        <f>SUM(AJ412:AM412)</f>
        <v>0</v>
      </c>
      <c r="AJ412" s="19">
        <v>0</v>
      </c>
      <c r="AK412" s="19">
        <v>0</v>
      </c>
      <c r="AL412" s="19">
        <v>0</v>
      </c>
      <c r="AM412" s="19">
        <v>0</v>
      </c>
    </row>
    <row r="413" spans="1:39" s="2" customFormat="1" ht="31.5" outlineLevel="3" x14ac:dyDescent="0.25">
      <c r="A413" s="8" t="s">
        <v>515</v>
      </c>
      <c r="B413" s="33" t="s">
        <v>498</v>
      </c>
      <c r="C413" s="26" t="s">
        <v>32</v>
      </c>
      <c r="D413" s="26" t="s">
        <v>118</v>
      </c>
      <c r="E413" s="20">
        <f t="shared" si="632"/>
        <v>506.2</v>
      </c>
      <c r="F413" s="20">
        <f>K413</f>
        <v>0</v>
      </c>
      <c r="G413" s="38">
        <f t="shared" si="634"/>
        <v>0</v>
      </c>
      <c r="H413" s="38">
        <f t="shared" si="634"/>
        <v>506.2</v>
      </c>
      <c r="I413" s="38">
        <f>N413+S413+X413+AC413+AH413+AM413</f>
        <v>0</v>
      </c>
      <c r="J413" s="18">
        <f>SUM(K413:N413)</f>
        <v>0</v>
      </c>
      <c r="K413" s="19">
        <v>0</v>
      </c>
      <c r="L413" s="19">
        <v>0</v>
      </c>
      <c r="M413" s="19">
        <v>0</v>
      </c>
      <c r="N413" s="19">
        <v>0</v>
      </c>
      <c r="O413" s="18">
        <f>SUM(P413:S413)</f>
        <v>195.7</v>
      </c>
      <c r="P413" s="19">
        <v>0</v>
      </c>
      <c r="Q413" s="19">
        <v>0</v>
      </c>
      <c r="R413" s="19">
        <v>195.7</v>
      </c>
      <c r="S413" s="19">
        <v>0</v>
      </c>
      <c r="T413" s="18">
        <v>0</v>
      </c>
      <c r="U413" s="19"/>
      <c r="V413" s="19">
        <v>0</v>
      </c>
      <c r="W413" s="19">
        <v>0</v>
      </c>
      <c r="X413" s="19">
        <v>0</v>
      </c>
      <c r="Y413" s="18">
        <f t="shared" si="638"/>
        <v>310.5</v>
      </c>
      <c r="Z413" s="19">
        <v>0</v>
      </c>
      <c r="AA413" s="19">
        <v>0</v>
      </c>
      <c r="AB413" s="19">
        <v>310.5</v>
      </c>
      <c r="AC413" s="19">
        <v>0</v>
      </c>
      <c r="AD413" s="18">
        <f>SUM(AE413:AH413)</f>
        <v>0</v>
      </c>
      <c r="AE413" s="19">
        <v>0</v>
      </c>
      <c r="AF413" s="19">
        <v>0</v>
      </c>
      <c r="AG413" s="19">
        <v>0</v>
      </c>
      <c r="AH413" s="19">
        <v>0</v>
      </c>
      <c r="AI413" s="18">
        <f>SUM(AJ413:AM413)</f>
        <v>0</v>
      </c>
      <c r="AJ413" s="19">
        <v>0</v>
      </c>
      <c r="AK413" s="19">
        <v>0</v>
      </c>
      <c r="AL413" s="19">
        <v>0</v>
      </c>
      <c r="AM413" s="19">
        <v>0</v>
      </c>
    </row>
    <row r="414" spans="1:39" s="2" customFormat="1" ht="31.5" outlineLevel="3" x14ac:dyDescent="0.25">
      <c r="A414" s="8" t="s">
        <v>516</v>
      </c>
      <c r="B414" s="33" t="s">
        <v>499</v>
      </c>
      <c r="C414" s="26" t="s">
        <v>32</v>
      </c>
      <c r="D414" s="26" t="s">
        <v>118</v>
      </c>
      <c r="E414" s="20">
        <f t="shared" si="632"/>
        <v>754.9</v>
      </c>
      <c r="F414" s="20">
        <f t="shared" si="633"/>
        <v>0</v>
      </c>
      <c r="G414" s="38">
        <f t="shared" si="634"/>
        <v>0</v>
      </c>
      <c r="H414" s="38">
        <f t="shared" si="634"/>
        <v>754.9</v>
      </c>
      <c r="I414" s="38">
        <f t="shared" si="635"/>
        <v>0</v>
      </c>
      <c r="J414" s="18">
        <f t="shared" si="636"/>
        <v>0</v>
      </c>
      <c r="K414" s="19">
        <v>0</v>
      </c>
      <c r="L414" s="19">
        <v>0</v>
      </c>
      <c r="M414" s="19">
        <v>0</v>
      </c>
      <c r="N414" s="19">
        <v>0</v>
      </c>
      <c r="O414" s="18">
        <f t="shared" si="637"/>
        <v>58.8</v>
      </c>
      <c r="P414" s="19">
        <v>0</v>
      </c>
      <c r="Q414" s="19">
        <v>0</v>
      </c>
      <c r="R414" s="19">
        <v>58.8</v>
      </c>
      <c r="S414" s="19">
        <v>0</v>
      </c>
      <c r="T414" s="18">
        <v>0</v>
      </c>
      <c r="U414" s="19"/>
      <c r="V414" s="19">
        <v>0</v>
      </c>
      <c r="W414" s="19">
        <v>0</v>
      </c>
      <c r="X414" s="19">
        <v>0</v>
      </c>
      <c r="Y414" s="18">
        <f t="shared" si="638"/>
        <v>696.1</v>
      </c>
      <c r="Z414" s="19">
        <v>0</v>
      </c>
      <c r="AA414" s="19">
        <v>0</v>
      </c>
      <c r="AB414" s="19">
        <v>696.1</v>
      </c>
      <c r="AC414" s="19">
        <v>0</v>
      </c>
      <c r="AD414" s="18">
        <f t="shared" si="639"/>
        <v>0</v>
      </c>
      <c r="AE414" s="19">
        <v>0</v>
      </c>
      <c r="AF414" s="19">
        <v>0</v>
      </c>
      <c r="AG414" s="19">
        <v>0</v>
      </c>
      <c r="AH414" s="19">
        <v>0</v>
      </c>
      <c r="AI414" s="18">
        <f t="shared" si="640"/>
        <v>0</v>
      </c>
      <c r="AJ414" s="19">
        <v>0</v>
      </c>
      <c r="AK414" s="19">
        <v>0</v>
      </c>
      <c r="AL414" s="19">
        <v>0</v>
      </c>
      <c r="AM414" s="19">
        <v>0</v>
      </c>
    </row>
    <row r="415" spans="1:39" s="2" customFormat="1" ht="31.5" outlineLevel="3" x14ac:dyDescent="0.25">
      <c r="A415" s="8" t="s">
        <v>540</v>
      </c>
      <c r="B415" s="33" t="s">
        <v>507</v>
      </c>
      <c r="C415" s="26" t="s">
        <v>32</v>
      </c>
      <c r="D415" s="26" t="s">
        <v>118</v>
      </c>
      <c r="E415" s="20">
        <f t="shared" si="632"/>
        <v>1274</v>
      </c>
      <c r="F415" s="20">
        <f t="shared" si="633"/>
        <v>0</v>
      </c>
      <c r="G415" s="38">
        <f t="shared" si="634"/>
        <v>0</v>
      </c>
      <c r="H415" s="38">
        <f t="shared" si="634"/>
        <v>1274</v>
      </c>
      <c r="I415" s="38">
        <f t="shared" si="635"/>
        <v>0</v>
      </c>
      <c r="J415" s="18">
        <f t="shared" si="636"/>
        <v>0</v>
      </c>
      <c r="K415" s="19">
        <v>0</v>
      </c>
      <c r="L415" s="19">
        <v>0</v>
      </c>
      <c r="M415" s="19">
        <v>0</v>
      </c>
      <c r="N415" s="19">
        <v>0</v>
      </c>
      <c r="O415" s="18">
        <f t="shared" si="637"/>
        <v>373.7</v>
      </c>
      <c r="P415" s="19">
        <v>0</v>
      </c>
      <c r="Q415" s="19">
        <v>0</v>
      </c>
      <c r="R415" s="19">
        <v>373.7</v>
      </c>
      <c r="S415" s="19">
        <v>0</v>
      </c>
      <c r="T415" s="18">
        <v>0</v>
      </c>
      <c r="U415" s="19"/>
      <c r="V415" s="19">
        <v>0</v>
      </c>
      <c r="W415" s="19">
        <v>0</v>
      </c>
      <c r="X415" s="19">
        <v>0</v>
      </c>
      <c r="Y415" s="18">
        <f t="shared" si="638"/>
        <v>900.3</v>
      </c>
      <c r="Z415" s="19">
        <v>0</v>
      </c>
      <c r="AA415" s="19">
        <v>0</v>
      </c>
      <c r="AB415" s="19">
        <v>900.3</v>
      </c>
      <c r="AC415" s="19">
        <v>0</v>
      </c>
      <c r="AD415" s="18">
        <f t="shared" si="639"/>
        <v>0</v>
      </c>
      <c r="AE415" s="19">
        <v>0</v>
      </c>
      <c r="AF415" s="19">
        <v>0</v>
      </c>
      <c r="AG415" s="19">
        <v>0</v>
      </c>
      <c r="AH415" s="19">
        <v>0</v>
      </c>
      <c r="AI415" s="18">
        <f t="shared" si="640"/>
        <v>0</v>
      </c>
      <c r="AJ415" s="19">
        <v>0</v>
      </c>
      <c r="AK415" s="19">
        <v>0</v>
      </c>
      <c r="AL415" s="19">
        <v>0</v>
      </c>
      <c r="AM415" s="19">
        <v>0</v>
      </c>
    </row>
    <row r="416" spans="1:39" s="2" customFormat="1" ht="31.5" outlineLevel="3" x14ac:dyDescent="0.25">
      <c r="A416" s="8" t="s">
        <v>574</v>
      </c>
      <c r="B416" s="33" t="s">
        <v>572</v>
      </c>
      <c r="C416" s="26" t="s">
        <v>32</v>
      </c>
      <c r="D416" s="26" t="s">
        <v>118</v>
      </c>
      <c r="E416" s="20">
        <f t="shared" si="632"/>
        <v>187.2</v>
      </c>
      <c r="F416" s="20">
        <f>K416</f>
        <v>0</v>
      </c>
      <c r="G416" s="38">
        <f t="shared" ref="G416:I418" si="641">L416+Q416+V416+AA416+AF416+AK416</f>
        <v>0</v>
      </c>
      <c r="H416" s="38">
        <f t="shared" si="641"/>
        <v>187.2</v>
      </c>
      <c r="I416" s="38">
        <f t="shared" si="641"/>
        <v>0</v>
      </c>
      <c r="J416" s="18">
        <f>SUM(K416:N416)</f>
        <v>0</v>
      </c>
      <c r="K416" s="19">
        <v>0</v>
      </c>
      <c r="L416" s="19">
        <v>0</v>
      </c>
      <c r="M416" s="19">
        <v>0</v>
      </c>
      <c r="N416" s="19">
        <v>0</v>
      </c>
      <c r="O416" s="18">
        <f>SUM(P416:S416)</f>
        <v>187.2</v>
      </c>
      <c r="P416" s="19">
        <v>0</v>
      </c>
      <c r="Q416" s="19">
        <v>0</v>
      </c>
      <c r="R416" s="19">
        <v>187.2</v>
      </c>
      <c r="S416" s="19">
        <v>0</v>
      </c>
      <c r="T416" s="18">
        <v>0</v>
      </c>
      <c r="U416" s="19"/>
      <c r="V416" s="19">
        <v>0</v>
      </c>
      <c r="W416" s="19">
        <v>0</v>
      </c>
      <c r="X416" s="19">
        <v>0</v>
      </c>
      <c r="Y416" s="18">
        <f t="shared" si="638"/>
        <v>0</v>
      </c>
      <c r="Z416" s="19">
        <v>0</v>
      </c>
      <c r="AA416" s="19">
        <v>0</v>
      </c>
      <c r="AB416" s="19">
        <v>0</v>
      </c>
      <c r="AC416" s="19">
        <v>0</v>
      </c>
      <c r="AD416" s="18">
        <f>SUM(AE416:AH416)</f>
        <v>0</v>
      </c>
      <c r="AE416" s="19">
        <v>0</v>
      </c>
      <c r="AF416" s="19">
        <v>0</v>
      </c>
      <c r="AG416" s="19">
        <v>0</v>
      </c>
      <c r="AH416" s="19">
        <v>0</v>
      </c>
      <c r="AI416" s="18">
        <f>SUM(AJ416:AM416)</f>
        <v>0</v>
      </c>
      <c r="AJ416" s="19">
        <v>0</v>
      </c>
      <c r="AK416" s="19">
        <v>0</v>
      </c>
      <c r="AL416" s="19">
        <v>0</v>
      </c>
      <c r="AM416" s="19">
        <v>0</v>
      </c>
    </row>
    <row r="417" spans="1:39" s="2" customFormat="1" ht="31.5" outlineLevel="3" x14ac:dyDescent="0.25">
      <c r="A417" s="8" t="s">
        <v>575</v>
      </c>
      <c r="B417" s="33" t="s">
        <v>573</v>
      </c>
      <c r="C417" s="26" t="s">
        <v>32</v>
      </c>
      <c r="D417" s="26" t="s">
        <v>118</v>
      </c>
      <c r="E417" s="20">
        <f t="shared" si="632"/>
        <v>377.8</v>
      </c>
      <c r="F417" s="20">
        <f>K417</f>
        <v>0</v>
      </c>
      <c r="G417" s="38">
        <f t="shared" si="641"/>
        <v>0</v>
      </c>
      <c r="H417" s="38">
        <f t="shared" si="641"/>
        <v>377.8</v>
      </c>
      <c r="I417" s="38">
        <f t="shared" si="641"/>
        <v>0</v>
      </c>
      <c r="J417" s="18">
        <f>SUM(K417:N417)</f>
        <v>0</v>
      </c>
      <c r="K417" s="19">
        <v>0</v>
      </c>
      <c r="L417" s="19">
        <v>0</v>
      </c>
      <c r="M417" s="19">
        <v>0</v>
      </c>
      <c r="N417" s="19">
        <v>0</v>
      </c>
      <c r="O417" s="18">
        <f>SUM(P417:S417)</f>
        <v>88.8</v>
      </c>
      <c r="P417" s="19">
        <v>0</v>
      </c>
      <c r="Q417" s="19">
        <v>0</v>
      </c>
      <c r="R417" s="19">
        <v>88.8</v>
      </c>
      <c r="S417" s="19">
        <v>0</v>
      </c>
      <c r="T417" s="18">
        <f>W417</f>
        <v>289</v>
      </c>
      <c r="U417" s="19"/>
      <c r="V417" s="19">
        <v>0</v>
      </c>
      <c r="W417" s="19">
        <v>289</v>
      </c>
      <c r="X417" s="19">
        <v>0</v>
      </c>
      <c r="Y417" s="18">
        <f t="shared" si="638"/>
        <v>0</v>
      </c>
      <c r="Z417" s="19">
        <v>0</v>
      </c>
      <c r="AA417" s="19">
        <v>0</v>
      </c>
      <c r="AB417" s="19">
        <v>0</v>
      </c>
      <c r="AC417" s="19">
        <v>0</v>
      </c>
      <c r="AD417" s="18">
        <f>SUM(AE417:AH417)</f>
        <v>0</v>
      </c>
      <c r="AE417" s="19">
        <v>0</v>
      </c>
      <c r="AF417" s="19">
        <v>0</v>
      </c>
      <c r="AG417" s="19">
        <v>0</v>
      </c>
      <c r="AH417" s="19">
        <v>0</v>
      </c>
      <c r="AI417" s="18">
        <f>SUM(AJ417:AM417)</f>
        <v>0</v>
      </c>
      <c r="AJ417" s="19">
        <v>0</v>
      </c>
      <c r="AK417" s="19">
        <v>0</v>
      </c>
      <c r="AL417" s="19">
        <v>0</v>
      </c>
      <c r="AM417" s="19">
        <v>0</v>
      </c>
    </row>
    <row r="418" spans="1:39" s="2" customFormat="1" ht="31.5" outlineLevel="3" x14ac:dyDescent="0.25">
      <c r="A418" s="8" t="s">
        <v>755</v>
      </c>
      <c r="B418" s="33" t="s">
        <v>50</v>
      </c>
      <c r="C418" s="26" t="s">
        <v>32</v>
      </c>
      <c r="D418" s="26" t="s">
        <v>118</v>
      </c>
      <c r="E418" s="20">
        <f t="shared" si="632"/>
        <v>488</v>
      </c>
      <c r="F418" s="20">
        <f>K418</f>
        <v>0</v>
      </c>
      <c r="G418" s="38">
        <f t="shared" si="641"/>
        <v>0</v>
      </c>
      <c r="H418" s="38">
        <f t="shared" si="641"/>
        <v>488</v>
      </c>
      <c r="I418" s="38">
        <f t="shared" si="641"/>
        <v>0</v>
      </c>
      <c r="J418" s="18">
        <f>SUM(K418:N418)</f>
        <v>0</v>
      </c>
      <c r="K418" s="19">
        <v>0</v>
      </c>
      <c r="L418" s="19">
        <v>0</v>
      </c>
      <c r="M418" s="19">
        <v>0</v>
      </c>
      <c r="N418" s="19">
        <v>0</v>
      </c>
      <c r="O418" s="18">
        <f>SUM(P418:S418)</f>
        <v>244</v>
      </c>
      <c r="P418" s="19">
        <v>0</v>
      </c>
      <c r="Q418" s="19">
        <v>0</v>
      </c>
      <c r="R418" s="19">
        <v>244</v>
      </c>
      <c r="S418" s="19">
        <v>0</v>
      </c>
      <c r="T418" s="18">
        <f>W418</f>
        <v>244</v>
      </c>
      <c r="U418" s="19"/>
      <c r="V418" s="19">
        <v>0</v>
      </c>
      <c r="W418" s="19">
        <v>244</v>
      </c>
      <c r="X418" s="19">
        <v>0</v>
      </c>
      <c r="Y418" s="18">
        <f t="shared" si="638"/>
        <v>0</v>
      </c>
      <c r="Z418" s="19">
        <v>0</v>
      </c>
      <c r="AA418" s="19">
        <v>0</v>
      </c>
      <c r="AB418" s="19">
        <v>0</v>
      </c>
      <c r="AC418" s="19">
        <v>0</v>
      </c>
      <c r="AD418" s="18">
        <f>SUM(AE418:AH418)</f>
        <v>0</v>
      </c>
      <c r="AE418" s="19">
        <v>0</v>
      </c>
      <c r="AF418" s="19">
        <v>0</v>
      </c>
      <c r="AG418" s="19">
        <v>0</v>
      </c>
      <c r="AH418" s="19">
        <v>0</v>
      </c>
      <c r="AI418" s="18">
        <f>SUM(AJ418:AM418)</f>
        <v>0</v>
      </c>
      <c r="AJ418" s="19">
        <v>0</v>
      </c>
      <c r="AK418" s="19">
        <v>0</v>
      </c>
      <c r="AL418" s="19">
        <v>0</v>
      </c>
      <c r="AM418" s="19">
        <v>0</v>
      </c>
    </row>
    <row r="419" spans="1:39" s="2" customFormat="1" ht="31.5" outlineLevel="3" x14ac:dyDescent="0.25">
      <c r="A419" s="8" t="s">
        <v>835</v>
      </c>
      <c r="B419" s="33" t="s">
        <v>56</v>
      </c>
      <c r="C419" s="26" t="s">
        <v>32</v>
      </c>
      <c r="D419" s="26" t="s">
        <v>118</v>
      </c>
      <c r="E419" s="20">
        <f t="shared" si="632"/>
        <v>624.1</v>
      </c>
      <c r="F419" s="20">
        <f>K419</f>
        <v>0</v>
      </c>
      <c r="G419" s="38">
        <f>L419+Q419+V419+AA419+AF419+AK419</f>
        <v>0</v>
      </c>
      <c r="H419" s="38">
        <f>M419+R419+W419+AB419+AG419+AL419</f>
        <v>624.1</v>
      </c>
      <c r="I419" s="38">
        <f t="shared" ref="I419:I420" si="642">N419+S419+X419+AC419+AH419+AM419</f>
        <v>0</v>
      </c>
      <c r="J419" s="18">
        <f t="shared" ref="J419:J420" si="643">SUM(K419:N419)</f>
        <v>0</v>
      </c>
      <c r="K419" s="19">
        <v>0</v>
      </c>
      <c r="L419" s="19">
        <v>0</v>
      </c>
      <c r="M419" s="19">
        <v>0</v>
      </c>
      <c r="N419" s="19">
        <v>0</v>
      </c>
      <c r="O419" s="18">
        <f t="shared" ref="O419:O420" si="644">SUM(P419:S419)</f>
        <v>0</v>
      </c>
      <c r="P419" s="19">
        <v>0</v>
      </c>
      <c r="Q419" s="19">
        <v>0</v>
      </c>
      <c r="R419" s="19">
        <v>0</v>
      </c>
      <c r="S419" s="19">
        <v>0</v>
      </c>
      <c r="T419" s="18">
        <f>W419</f>
        <v>144.5</v>
      </c>
      <c r="U419" s="19"/>
      <c r="V419" s="19"/>
      <c r="W419" s="19">
        <v>144.5</v>
      </c>
      <c r="X419" s="19">
        <v>0</v>
      </c>
      <c r="Y419" s="18">
        <f t="shared" ref="Y419:Y420" si="645">SUM(Z419:AC419)</f>
        <v>479.6</v>
      </c>
      <c r="Z419" s="19">
        <v>0</v>
      </c>
      <c r="AA419" s="19">
        <v>0</v>
      </c>
      <c r="AB419" s="19">
        <f>77.4+402.2</f>
        <v>479.6</v>
      </c>
      <c r="AC419" s="19">
        <v>0</v>
      </c>
      <c r="AD419" s="18">
        <f t="shared" ref="AD419:AD420" si="646">SUM(AE419:AH419)</f>
        <v>0</v>
      </c>
      <c r="AE419" s="19">
        <v>0</v>
      </c>
      <c r="AF419" s="19">
        <v>0</v>
      </c>
      <c r="AG419" s="19">
        <v>0</v>
      </c>
      <c r="AH419" s="19">
        <v>0</v>
      </c>
      <c r="AI419" s="18">
        <f t="shared" ref="AI419:AI420" si="647">SUM(AJ419:AM419)</f>
        <v>0</v>
      </c>
      <c r="AJ419" s="19">
        <v>0</v>
      </c>
      <c r="AK419" s="19">
        <v>0</v>
      </c>
      <c r="AL419" s="19">
        <v>0</v>
      </c>
      <c r="AM419" s="19">
        <v>0</v>
      </c>
    </row>
    <row r="420" spans="1:39" s="2" customFormat="1" ht="31.5" outlineLevel="3" x14ac:dyDescent="0.25">
      <c r="A420" s="8" t="s">
        <v>1057</v>
      </c>
      <c r="B420" s="33" t="s">
        <v>54</v>
      </c>
      <c r="C420" s="26" t="s">
        <v>32</v>
      </c>
      <c r="D420" s="26" t="s">
        <v>118</v>
      </c>
      <c r="E420" s="20">
        <f t="shared" ref="E420" si="648">SUM(F420:I420)</f>
        <v>1004</v>
      </c>
      <c r="F420" s="20">
        <f>K420</f>
        <v>0</v>
      </c>
      <c r="G420" s="38">
        <f>L420+Q420+V420+AA420+AF420+AK420</f>
        <v>0</v>
      </c>
      <c r="H420" s="38">
        <f>M420+R420+W420+AB420+AG420+AL420</f>
        <v>1004</v>
      </c>
      <c r="I420" s="38">
        <f t="shared" si="642"/>
        <v>0</v>
      </c>
      <c r="J420" s="18">
        <f t="shared" si="643"/>
        <v>0</v>
      </c>
      <c r="K420" s="19">
        <v>0</v>
      </c>
      <c r="L420" s="19">
        <v>0</v>
      </c>
      <c r="M420" s="19">
        <v>0</v>
      </c>
      <c r="N420" s="19">
        <v>0</v>
      </c>
      <c r="O420" s="18">
        <f t="shared" si="644"/>
        <v>0</v>
      </c>
      <c r="P420" s="19">
        <v>0</v>
      </c>
      <c r="Q420" s="19">
        <v>0</v>
      </c>
      <c r="R420" s="19">
        <v>0</v>
      </c>
      <c r="S420" s="19">
        <v>0</v>
      </c>
      <c r="T420" s="18">
        <f>W420</f>
        <v>0</v>
      </c>
      <c r="U420" s="19"/>
      <c r="V420" s="19"/>
      <c r="W420" s="19">
        <v>0</v>
      </c>
      <c r="X420" s="19">
        <v>0</v>
      </c>
      <c r="Y420" s="18">
        <f t="shared" si="645"/>
        <v>1004</v>
      </c>
      <c r="Z420" s="19">
        <v>0</v>
      </c>
      <c r="AA420" s="19">
        <v>0</v>
      </c>
      <c r="AB420" s="19">
        <v>1004</v>
      </c>
      <c r="AC420" s="19">
        <v>0</v>
      </c>
      <c r="AD420" s="18">
        <f t="shared" si="646"/>
        <v>0</v>
      </c>
      <c r="AE420" s="19">
        <v>0</v>
      </c>
      <c r="AF420" s="19">
        <v>0</v>
      </c>
      <c r="AG420" s="19">
        <v>0</v>
      </c>
      <c r="AH420" s="19">
        <v>0</v>
      </c>
      <c r="AI420" s="18">
        <f t="shared" si="647"/>
        <v>0</v>
      </c>
      <c r="AJ420" s="19">
        <v>0</v>
      </c>
      <c r="AK420" s="19">
        <v>0</v>
      </c>
      <c r="AL420" s="19">
        <v>0</v>
      </c>
      <c r="AM420" s="19">
        <v>0</v>
      </c>
    </row>
    <row r="421" spans="1:39" s="5" customFormat="1" ht="31.5" customHeight="1" outlineLevel="1" x14ac:dyDescent="0.25">
      <c r="A421" s="165" t="s">
        <v>254</v>
      </c>
      <c r="B421" s="194" t="s">
        <v>24</v>
      </c>
      <c r="C421" s="195"/>
      <c r="D421" s="195"/>
      <c r="E421" s="18">
        <f>SUM(E422:E423)</f>
        <v>3618.3</v>
      </c>
      <c r="F421" s="18">
        <f t="shared" ref="F421:AM421" si="649">SUM(F422:F423)</f>
        <v>0</v>
      </c>
      <c r="G421" s="18">
        <f t="shared" si="649"/>
        <v>0</v>
      </c>
      <c r="H421" s="18">
        <f t="shared" si="649"/>
        <v>3618.3</v>
      </c>
      <c r="I421" s="18">
        <f t="shared" si="649"/>
        <v>0</v>
      </c>
      <c r="J421" s="18">
        <f t="shared" si="649"/>
        <v>0</v>
      </c>
      <c r="K421" s="18">
        <f t="shared" si="649"/>
        <v>0</v>
      </c>
      <c r="L421" s="18">
        <f t="shared" si="649"/>
        <v>0</v>
      </c>
      <c r="M421" s="18">
        <f t="shared" si="649"/>
        <v>0</v>
      </c>
      <c r="N421" s="18">
        <f t="shared" si="649"/>
        <v>0</v>
      </c>
      <c r="O421" s="18">
        <f t="shared" si="649"/>
        <v>468.3</v>
      </c>
      <c r="P421" s="18">
        <f t="shared" si="649"/>
        <v>0</v>
      </c>
      <c r="Q421" s="18">
        <f t="shared" si="649"/>
        <v>0</v>
      </c>
      <c r="R421" s="18">
        <f t="shared" si="649"/>
        <v>468.3</v>
      </c>
      <c r="S421" s="18">
        <f t="shared" si="649"/>
        <v>0</v>
      </c>
      <c r="T421" s="18">
        <f t="shared" si="649"/>
        <v>0</v>
      </c>
      <c r="U421" s="18">
        <f t="shared" si="649"/>
        <v>0</v>
      </c>
      <c r="V421" s="18">
        <f t="shared" si="649"/>
        <v>0</v>
      </c>
      <c r="W421" s="18">
        <f t="shared" si="649"/>
        <v>0</v>
      </c>
      <c r="X421" s="18">
        <f t="shared" si="649"/>
        <v>0</v>
      </c>
      <c r="Y421" s="18">
        <f t="shared" si="649"/>
        <v>3150</v>
      </c>
      <c r="Z421" s="18">
        <f t="shared" si="649"/>
        <v>0</v>
      </c>
      <c r="AA421" s="18">
        <f t="shared" si="649"/>
        <v>0</v>
      </c>
      <c r="AB421" s="18">
        <f t="shared" si="649"/>
        <v>3150</v>
      </c>
      <c r="AC421" s="18">
        <f t="shared" si="649"/>
        <v>0</v>
      </c>
      <c r="AD421" s="18">
        <f t="shared" si="649"/>
        <v>0</v>
      </c>
      <c r="AE421" s="18">
        <f t="shared" si="649"/>
        <v>0</v>
      </c>
      <c r="AF421" s="18">
        <f t="shared" si="649"/>
        <v>0</v>
      </c>
      <c r="AG421" s="18">
        <f t="shared" si="649"/>
        <v>0</v>
      </c>
      <c r="AH421" s="18">
        <f t="shared" si="649"/>
        <v>0</v>
      </c>
      <c r="AI421" s="18">
        <f t="shared" si="649"/>
        <v>0</v>
      </c>
      <c r="AJ421" s="18">
        <f t="shared" si="649"/>
        <v>0</v>
      </c>
      <c r="AK421" s="18">
        <f t="shared" si="649"/>
        <v>0</v>
      </c>
      <c r="AL421" s="18">
        <f t="shared" si="649"/>
        <v>0</v>
      </c>
      <c r="AM421" s="18">
        <f t="shared" si="649"/>
        <v>0</v>
      </c>
    </row>
    <row r="422" spans="1:39" s="2" customFormat="1" ht="78.75" outlineLevel="2" x14ac:dyDescent="0.25">
      <c r="A422" s="8" t="s">
        <v>255</v>
      </c>
      <c r="B422" s="33" t="s">
        <v>25</v>
      </c>
      <c r="C422" s="26" t="s">
        <v>376</v>
      </c>
      <c r="D422" s="26" t="s">
        <v>118</v>
      </c>
      <c r="E422" s="20">
        <f>SUM(F422:I422)</f>
        <v>468.3</v>
      </c>
      <c r="F422" s="38">
        <f>K422+P422+U422</f>
        <v>0</v>
      </c>
      <c r="G422" s="38">
        <f t="shared" ref="G422:I423" si="650">L422+Q422+V422+AA422+AF422+AK422</f>
        <v>0</v>
      </c>
      <c r="H422" s="38">
        <f t="shared" si="650"/>
        <v>468.3</v>
      </c>
      <c r="I422" s="38">
        <f t="shared" si="650"/>
        <v>0</v>
      </c>
      <c r="J422" s="18">
        <f>SUM(K422:N422)</f>
        <v>0</v>
      </c>
      <c r="K422" s="19">
        <v>0</v>
      </c>
      <c r="L422" s="19">
        <v>0</v>
      </c>
      <c r="M422" s="19">
        <v>0</v>
      </c>
      <c r="N422" s="19">
        <v>0</v>
      </c>
      <c r="O422" s="18">
        <f>SUM(P422:S422)</f>
        <v>468.3</v>
      </c>
      <c r="P422" s="19">
        <v>0</v>
      </c>
      <c r="Q422" s="19">
        <v>0</v>
      </c>
      <c r="R422" s="19">
        <v>468.3</v>
      </c>
      <c r="S422" s="19">
        <v>0</v>
      </c>
      <c r="T422" s="18">
        <f>SUM(U422:X422)</f>
        <v>0</v>
      </c>
      <c r="U422" s="19">
        <v>0</v>
      </c>
      <c r="V422" s="19">
        <v>0</v>
      </c>
      <c r="W422" s="19">
        <v>0</v>
      </c>
      <c r="X422" s="19">
        <v>0</v>
      </c>
      <c r="Y422" s="18">
        <f>SUM(Z422:AC422)</f>
        <v>0</v>
      </c>
      <c r="Z422" s="19">
        <v>0</v>
      </c>
      <c r="AA422" s="19">
        <v>0</v>
      </c>
      <c r="AB422" s="19">
        <v>0</v>
      </c>
      <c r="AC422" s="19">
        <v>0</v>
      </c>
      <c r="AD422" s="18">
        <f>SUM(AE422:AH422)</f>
        <v>0</v>
      </c>
      <c r="AE422" s="19">
        <v>0</v>
      </c>
      <c r="AF422" s="19">
        <v>0</v>
      </c>
      <c r="AG422" s="19">
        <v>0</v>
      </c>
      <c r="AH422" s="19">
        <v>0</v>
      </c>
      <c r="AI422" s="18">
        <f>SUM(AJ422:AM422)</f>
        <v>0</v>
      </c>
      <c r="AJ422" s="19">
        <v>0</v>
      </c>
      <c r="AK422" s="19">
        <v>0</v>
      </c>
      <c r="AL422" s="19">
        <v>0</v>
      </c>
      <c r="AM422" s="19">
        <v>0</v>
      </c>
    </row>
    <row r="423" spans="1:39" s="2" customFormat="1" ht="94.5" outlineLevel="2" x14ac:dyDescent="0.25">
      <c r="A423" s="8" t="s">
        <v>1014</v>
      </c>
      <c r="B423" s="33" t="s">
        <v>1015</v>
      </c>
      <c r="C423" s="26" t="s">
        <v>32</v>
      </c>
      <c r="D423" s="26" t="s">
        <v>118</v>
      </c>
      <c r="E423" s="20">
        <f>SUM(F423:I423)</f>
        <v>3150</v>
      </c>
      <c r="F423" s="38">
        <f>K423+P423+U423</f>
        <v>0</v>
      </c>
      <c r="G423" s="38">
        <f t="shared" si="650"/>
        <v>0</v>
      </c>
      <c r="H423" s="38">
        <f t="shared" si="650"/>
        <v>3150</v>
      </c>
      <c r="I423" s="38">
        <f t="shared" si="650"/>
        <v>0</v>
      </c>
      <c r="J423" s="18">
        <f>SUM(K423:N423)</f>
        <v>0</v>
      </c>
      <c r="K423" s="19">
        <v>0</v>
      </c>
      <c r="L423" s="19">
        <v>0</v>
      </c>
      <c r="M423" s="19">
        <v>0</v>
      </c>
      <c r="N423" s="19">
        <v>0</v>
      </c>
      <c r="O423" s="18">
        <f>SUM(P423:S423)</f>
        <v>0</v>
      </c>
      <c r="P423" s="19">
        <v>0</v>
      </c>
      <c r="Q423" s="19">
        <v>0</v>
      </c>
      <c r="R423" s="19">
        <v>0</v>
      </c>
      <c r="S423" s="19">
        <v>0</v>
      </c>
      <c r="T423" s="18">
        <f>SUM(U423:X423)</f>
        <v>0</v>
      </c>
      <c r="U423" s="19">
        <v>0</v>
      </c>
      <c r="V423" s="19">
        <v>0</v>
      </c>
      <c r="W423" s="19">
        <v>0</v>
      </c>
      <c r="X423" s="19">
        <v>0</v>
      </c>
      <c r="Y423" s="18">
        <f>SUM(Z423:AC423)</f>
        <v>3150</v>
      </c>
      <c r="Z423" s="19">
        <v>0</v>
      </c>
      <c r="AA423" s="19">
        <v>0</v>
      </c>
      <c r="AB423" s="19">
        <v>3150</v>
      </c>
      <c r="AC423" s="19">
        <v>0</v>
      </c>
      <c r="AD423" s="18">
        <f>SUM(AE423:AH423)</f>
        <v>0</v>
      </c>
      <c r="AE423" s="19">
        <v>0</v>
      </c>
      <c r="AF423" s="19">
        <v>0</v>
      </c>
      <c r="AG423" s="19">
        <v>0</v>
      </c>
      <c r="AH423" s="19">
        <v>0</v>
      </c>
      <c r="AI423" s="18">
        <f>SUM(AJ423:AM423)</f>
        <v>0</v>
      </c>
      <c r="AJ423" s="19">
        <v>0</v>
      </c>
      <c r="AK423" s="19">
        <v>0</v>
      </c>
      <c r="AL423" s="19">
        <v>0</v>
      </c>
      <c r="AM423" s="19">
        <v>0</v>
      </c>
    </row>
    <row r="424" spans="1:39" s="5" customFormat="1" ht="40.5" customHeight="1" outlineLevel="1" x14ac:dyDescent="0.25">
      <c r="A424" s="165" t="s">
        <v>256</v>
      </c>
      <c r="B424" s="194" t="s">
        <v>26</v>
      </c>
      <c r="C424" s="195"/>
      <c r="D424" s="195"/>
      <c r="E424" s="18">
        <f>SUM(E425:E426)</f>
        <v>116422.1</v>
      </c>
      <c r="F424" s="18">
        <f t="shared" ref="F424:AM424" si="651">SUM(F425:F426)</f>
        <v>0</v>
      </c>
      <c r="G424" s="18">
        <f t="shared" si="651"/>
        <v>0</v>
      </c>
      <c r="H424" s="18">
        <f t="shared" si="651"/>
        <v>116422.1</v>
      </c>
      <c r="I424" s="18">
        <f t="shared" si="651"/>
        <v>0</v>
      </c>
      <c r="J424" s="18">
        <f t="shared" si="651"/>
        <v>16854.100000000002</v>
      </c>
      <c r="K424" s="18">
        <f t="shared" si="651"/>
        <v>0</v>
      </c>
      <c r="L424" s="18">
        <f t="shared" si="651"/>
        <v>0</v>
      </c>
      <c r="M424" s="18">
        <f t="shared" si="651"/>
        <v>16854.100000000002</v>
      </c>
      <c r="N424" s="18">
        <f t="shared" si="651"/>
        <v>0</v>
      </c>
      <c r="O424" s="18">
        <f t="shared" si="651"/>
        <v>43369.4</v>
      </c>
      <c r="P424" s="18">
        <f t="shared" si="651"/>
        <v>0</v>
      </c>
      <c r="Q424" s="18">
        <f t="shared" si="651"/>
        <v>0</v>
      </c>
      <c r="R424" s="18">
        <f>SUM(R425:R426)</f>
        <v>43369.4</v>
      </c>
      <c r="S424" s="18">
        <f t="shared" si="651"/>
        <v>0</v>
      </c>
      <c r="T424" s="18">
        <f t="shared" si="651"/>
        <v>38184.600000000006</v>
      </c>
      <c r="U424" s="18">
        <f t="shared" si="651"/>
        <v>0</v>
      </c>
      <c r="V424" s="18">
        <f t="shared" si="651"/>
        <v>0</v>
      </c>
      <c r="W424" s="18">
        <f>SUM(W425:W426)</f>
        <v>38184.600000000006</v>
      </c>
      <c r="X424" s="18">
        <f t="shared" si="651"/>
        <v>0</v>
      </c>
      <c r="Y424" s="18">
        <f t="shared" si="651"/>
        <v>18014</v>
      </c>
      <c r="Z424" s="18">
        <f t="shared" si="651"/>
        <v>0</v>
      </c>
      <c r="AA424" s="18">
        <f t="shared" si="651"/>
        <v>0</v>
      </c>
      <c r="AB424" s="18">
        <f t="shared" si="651"/>
        <v>18014</v>
      </c>
      <c r="AC424" s="18">
        <f t="shared" si="651"/>
        <v>0</v>
      </c>
      <c r="AD424" s="18">
        <f t="shared" si="651"/>
        <v>0</v>
      </c>
      <c r="AE424" s="18">
        <f t="shared" si="651"/>
        <v>0</v>
      </c>
      <c r="AF424" s="18">
        <f t="shared" si="651"/>
        <v>0</v>
      </c>
      <c r="AG424" s="18">
        <f t="shared" si="651"/>
        <v>0</v>
      </c>
      <c r="AH424" s="18">
        <f t="shared" si="651"/>
        <v>0</v>
      </c>
      <c r="AI424" s="18">
        <f t="shared" si="651"/>
        <v>0</v>
      </c>
      <c r="AJ424" s="18">
        <f t="shared" si="651"/>
        <v>0</v>
      </c>
      <c r="AK424" s="18">
        <f t="shared" si="651"/>
        <v>0</v>
      </c>
      <c r="AL424" s="18">
        <f t="shared" si="651"/>
        <v>0</v>
      </c>
      <c r="AM424" s="18">
        <f t="shared" si="651"/>
        <v>0</v>
      </c>
    </row>
    <row r="425" spans="1:39" s="2" customFormat="1" ht="94.5" outlineLevel="2" x14ac:dyDescent="0.25">
      <c r="A425" s="8" t="s">
        <v>364</v>
      </c>
      <c r="B425" s="33" t="s">
        <v>27</v>
      </c>
      <c r="C425" s="26" t="s">
        <v>376</v>
      </c>
      <c r="D425" s="26" t="s">
        <v>8</v>
      </c>
      <c r="E425" s="20">
        <f>SUM(F425:I425)</f>
        <v>116162.70000000001</v>
      </c>
      <c r="F425" s="38">
        <f>K425+P425+U425</f>
        <v>0</v>
      </c>
      <c r="G425" s="38">
        <f t="shared" ref="G425:I426" si="652">L425+Q425+V425+AA425+AF425+AK425</f>
        <v>0</v>
      </c>
      <c r="H425" s="38">
        <f t="shared" si="652"/>
        <v>116162.70000000001</v>
      </c>
      <c r="I425" s="38">
        <f t="shared" si="652"/>
        <v>0</v>
      </c>
      <c r="J425" s="18">
        <f>SUM(K425:N425)</f>
        <v>16782.400000000001</v>
      </c>
      <c r="K425" s="19">
        <v>0</v>
      </c>
      <c r="L425" s="19">
        <v>0</v>
      </c>
      <c r="M425" s="38">
        <v>16782.400000000001</v>
      </c>
      <c r="N425" s="19">
        <v>0</v>
      </c>
      <c r="O425" s="18">
        <f>SUM(P425:S425)</f>
        <v>43271.5</v>
      </c>
      <c r="P425" s="19">
        <v>0</v>
      </c>
      <c r="Q425" s="19">
        <v>0</v>
      </c>
      <c r="R425" s="19">
        <f>57371.2-14099.7</f>
        <v>43271.5</v>
      </c>
      <c r="S425" s="19">
        <v>0</v>
      </c>
      <c r="T425" s="18">
        <f>SUM(U425:X425)</f>
        <v>38099.800000000003</v>
      </c>
      <c r="U425" s="19">
        <v>0</v>
      </c>
      <c r="V425" s="19">
        <v>0</v>
      </c>
      <c r="W425" s="19">
        <f>24000+14099.8</f>
        <v>38099.800000000003</v>
      </c>
      <c r="X425" s="19">
        <v>0</v>
      </c>
      <c r="Y425" s="18">
        <f>SUM(Z425:AC425)</f>
        <v>18009</v>
      </c>
      <c r="Z425" s="19">
        <v>0</v>
      </c>
      <c r="AA425" s="19">
        <v>0</v>
      </c>
      <c r="AB425" s="19">
        <v>18009</v>
      </c>
      <c r="AC425" s="19">
        <v>0</v>
      </c>
      <c r="AD425" s="18">
        <f>SUM(AE425:AH425)</f>
        <v>0</v>
      </c>
      <c r="AE425" s="19">
        <v>0</v>
      </c>
      <c r="AF425" s="19">
        <v>0</v>
      </c>
      <c r="AG425" s="19">
        <v>0</v>
      </c>
      <c r="AH425" s="19">
        <v>0</v>
      </c>
      <c r="AI425" s="18">
        <f>SUM(AJ425:AM425)</f>
        <v>0</v>
      </c>
      <c r="AJ425" s="19">
        <v>0</v>
      </c>
      <c r="AK425" s="19">
        <v>0</v>
      </c>
      <c r="AL425" s="19">
        <v>0</v>
      </c>
      <c r="AM425" s="19">
        <v>0</v>
      </c>
    </row>
    <row r="426" spans="1:39" s="2" customFormat="1" ht="63" outlineLevel="2" x14ac:dyDescent="0.25">
      <c r="A426" s="8" t="s">
        <v>365</v>
      </c>
      <c r="B426" s="53" t="s">
        <v>1089</v>
      </c>
      <c r="C426" s="26" t="s">
        <v>31</v>
      </c>
      <c r="D426" s="31" t="s">
        <v>8</v>
      </c>
      <c r="E426" s="20">
        <f>SUM(F426:I426)</f>
        <v>259.39999999999998</v>
      </c>
      <c r="F426" s="38">
        <f>K426+P426+U426+Z426+AE426+AJ426</f>
        <v>0</v>
      </c>
      <c r="G426" s="38">
        <f t="shared" si="652"/>
        <v>0</v>
      </c>
      <c r="H426" s="38">
        <f t="shared" si="652"/>
        <v>259.39999999999998</v>
      </c>
      <c r="I426" s="38">
        <f t="shared" si="652"/>
        <v>0</v>
      </c>
      <c r="J426" s="18">
        <f>SUM(K426:N426)</f>
        <v>71.7</v>
      </c>
      <c r="K426" s="19">
        <v>0</v>
      </c>
      <c r="L426" s="19">
        <v>0</v>
      </c>
      <c r="M426" s="19">
        <v>71.7</v>
      </c>
      <c r="N426" s="19">
        <v>0</v>
      </c>
      <c r="O426" s="18">
        <f>SUM(P426:S426)</f>
        <v>97.899999999999991</v>
      </c>
      <c r="P426" s="19">
        <v>0</v>
      </c>
      <c r="Q426" s="19">
        <v>0</v>
      </c>
      <c r="R426" s="19">
        <f>80.1+17.8</f>
        <v>97.899999999999991</v>
      </c>
      <c r="S426" s="19">
        <v>0</v>
      </c>
      <c r="T426" s="18">
        <f t="shared" ref="T426:T432" si="653">SUM(U426:X426)</f>
        <v>84.800000000000011</v>
      </c>
      <c r="U426" s="19">
        <v>0</v>
      </c>
      <c r="V426" s="19">
        <v>0</v>
      </c>
      <c r="W426" s="19">
        <f>38.7+46.1</f>
        <v>84.800000000000011</v>
      </c>
      <c r="X426" s="19">
        <v>0</v>
      </c>
      <c r="Y426" s="18">
        <f>SUM(Z426:AC426)</f>
        <v>5</v>
      </c>
      <c r="Z426" s="19">
        <v>0</v>
      </c>
      <c r="AA426" s="19">
        <v>0</v>
      </c>
      <c r="AB426" s="19">
        <v>5</v>
      </c>
      <c r="AC426" s="19">
        <v>0</v>
      </c>
      <c r="AD426" s="18">
        <f>SUM(AE426:AH426)</f>
        <v>0</v>
      </c>
      <c r="AE426" s="19">
        <v>0</v>
      </c>
      <c r="AF426" s="19">
        <v>0</v>
      </c>
      <c r="AG426" s="19">
        <v>0</v>
      </c>
      <c r="AH426" s="19">
        <v>0</v>
      </c>
      <c r="AI426" s="18">
        <f>SUM(AJ426:AM426)</f>
        <v>0</v>
      </c>
      <c r="AJ426" s="19">
        <v>0</v>
      </c>
      <c r="AK426" s="19">
        <v>0</v>
      </c>
      <c r="AL426" s="19">
        <v>0</v>
      </c>
      <c r="AM426" s="19">
        <v>0</v>
      </c>
    </row>
    <row r="427" spans="1:39" s="5" customFormat="1" ht="37.5" customHeight="1" outlineLevel="1" x14ac:dyDescent="0.25">
      <c r="A427" s="165" t="s">
        <v>257</v>
      </c>
      <c r="B427" s="194" t="s">
        <v>534</v>
      </c>
      <c r="C427" s="195"/>
      <c r="D427" s="195"/>
      <c r="E427" s="18">
        <f t="shared" ref="E427:AM427" si="654">SUM(E428:E432)</f>
        <v>12988.4</v>
      </c>
      <c r="F427" s="18">
        <f t="shared" si="654"/>
        <v>0</v>
      </c>
      <c r="G427" s="18">
        <f t="shared" si="654"/>
        <v>0</v>
      </c>
      <c r="H427" s="18">
        <f t="shared" si="654"/>
        <v>12988.4</v>
      </c>
      <c r="I427" s="18">
        <f t="shared" si="654"/>
        <v>0</v>
      </c>
      <c r="J427" s="18">
        <f t="shared" si="654"/>
        <v>3938.1000000000004</v>
      </c>
      <c r="K427" s="18">
        <f t="shared" si="654"/>
        <v>0</v>
      </c>
      <c r="L427" s="18">
        <f t="shared" si="654"/>
        <v>0</v>
      </c>
      <c r="M427" s="18">
        <f t="shared" si="654"/>
        <v>3938.1000000000004</v>
      </c>
      <c r="N427" s="18">
        <f t="shared" si="654"/>
        <v>0</v>
      </c>
      <c r="O427" s="18">
        <f t="shared" si="654"/>
        <v>795.5</v>
      </c>
      <c r="P427" s="18">
        <f t="shared" si="654"/>
        <v>0</v>
      </c>
      <c r="Q427" s="18">
        <f t="shared" si="654"/>
        <v>0</v>
      </c>
      <c r="R427" s="18">
        <f>SUM(R428:R432)</f>
        <v>795.5</v>
      </c>
      <c r="S427" s="18">
        <f t="shared" si="654"/>
        <v>0</v>
      </c>
      <c r="T427" s="18">
        <f t="shared" si="654"/>
        <v>8254.7999999999993</v>
      </c>
      <c r="U427" s="18">
        <f t="shared" si="654"/>
        <v>0</v>
      </c>
      <c r="V427" s="18">
        <f t="shared" si="654"/>
        <v>0</v>
      </c>
      <c r="W427" s="18">
        <f t="shared" si="654"/>
        <v>8254.7999999999993</v>
      </c>
      <c r="X427" s="18">
        <f t="shared" si="654"/>
        <v>0</v>
      </c>
      <c r="Y427" s="18">
        <f t="shared" si="654"/>
        <v>0</v>
      </c>
      <c r="Z427" s="18">
        <f t="shared" si="654"/>
        <v>0</v>
      </c>
      <c r="AA427" s="18">
        <f t="shared" si="654"/>
        <v>0</v>
      </c>
      <c r="AB427" s="18">
        <f t="shared" si="654"/>
        <v>0</v>
      </c>
      <c r="AC427" s="18">
        <f t="shared" si="654"/>
        <v>0</v>
      </c>
      <c r="AD427" s="18">
        <f t="shared" si="654"/>
        <v>0</v>
      </c>
      <c r="AE427" s="18">
        <f t="shared" si="654"/>
        <v>0</v>
      </c>
      <c r="AF427" s="18">
        <f t="shared" si="654"/>
        <v>0</v>
      </c>
      <c r="AG427" s="18">
        <f t="shared" si="654"/>
        <v>0</v>
      </c>
      <c r="AH427" s="18">
        <f t="shared" si="654"/>
        <v>0</v>
      </c>
      <c r="AI427" s="18">
        <f t="shared" si="654"/>
        <v>0</v>
      </c>
      <c r="AJ427" s="18">
        <f t="shared" si="654"/>
        <v>0</v>
      </c>
      <c r="AK427" s="18">
        <f t="shared" si="654"/>
        <v>0</v>
      </c>
      <c r="AL427" s="18">
        <f t="shared" si="654"/>
        <v>0</v>
      </c>
      <c r="AM427" s="18">
        <f t="shared" si="654"/>
        <v>0</v>
      </c>
    </row>
    <row r="428" spans="1:39" s="2" customFormat="1" ht="78.75" outlineLevel="2" x14ac:dyDescent="0.25">
      <c r="A428" s="8" t="s">
        <v>258</v>
      </c>
      <c r="B428" s="33" t="s">
        <v>116</v>
      </c>
      <c r="C428" s="26" t="s">
        <v>376</v>
      </c>
      <c r="D428" s="26" t="s">
        <v>8</v>
      </c>
      <c r="E428" s="20">
        <f>SUM(F428:I428)</f>
        <v>363</v>
      </c>
      <c r="F428" s="38">
        <f>K428+P428+U428</f>
        <v>0</v>
      </c>
      <c r="G428" s="38">
        <f t="shared" ref="G428:I432" si="655">L428+Q428+V428+AA428+AF428+AK428</f>
        <v>0</v>
      </c>
      <c r="H428" s="38">
        <f t="shared" si="655"/>
        <v>363</v>
      </c>
      <c r="I428" s="38">
        <f t="shared" si="655"/>
        <v>0</v>
      </c>
      <c r="J428" s="18">
        <f>SUM(K428:N428)</f>
        <v>97.6</v>
      </c>
      <c r="K428" s="19">
        <v>0</v>
      </c>
      <c r="L428" s="19">
        <v>0</v>
      </c>
      <c r="M428" s="19">
        <v>97.6</v>
      </c>
      <c r="N428" s="19">
        <v>0</v>
      </c>
      <c r="O428" s="18">
        <f t="shared" ref="O428:O452" si="656">SUM(P428:S428)</f>
        <v>265.39999999999998</v>
      </c>
      <c r="P428" s="19">
        <v>0</v>
      </c>
      <c r="Q428" s="19">
        <v>0</v>
      </c>
      <c r="R428" s="19">
        <f>206.2+59.2</f>
        <v>265.39999999999998</v>
      </c>
      <c r="S428" s="19">
        <v>0</v>
      </c>
      <c r="T428" s="18">
        <f t="shared" si="653"/>
        <v>0</v>
      </c>
      <c r="U428" s="19">
        <v>0</v>
      </c>
      <c r="V428" s="19">
        <v>0</v>
      </c>
      <c r="W428" s="19">
        <v>0</v>
      </c>
      <c r="X428" s="19">
        <v>0</v>
      </c>
      <c r="Y428" s="18">
        <f>SUM(Z428:AC428)</f>
        <v>0</v>
      </c>
      <c r="Z428" s="19">
        <v>0</v>
      </c>
      <c r="AA428" s="19">
        <v>0</v>
      </c>
      <c r="AB428" s="19">
        <v>0</v>
      </c>
      <c r="AC428" s="19">
        <v>0</v>
      </c>
      <c r="AD428" s="18">
        <f>SUM(AE428:AH428)</f>
        <v>0</v>
      </c>
      <c r="AE428" s="19">
        <v>0</v>
      </c>
      <c r="AF428" s="19">
        <v>0</v>
      </c>
      <c r="AG428" s="19">
        <v>0</v>
      </c>
      <c r="AH428" s="19">
        <v>0</v>
      </c>
      <c r="AI428" s="18">
        <f>SUM(AJ428:AM428)</f>
        <v>0</v>
      </c>
      <c r="AJ428" s="19">
        <v>0</v>
      </c>
      <c r="AK428" s="19">
        <v>0</v>
      </c>
      <c r="AL428" s="19">
        <v>0</v>
      </c>
      <c r="AM428" s="19">
        <v>0</v>
      </c>
    </row>
    <row r="429" spans="1:39" s="2" customFormat="1" ht="78.75" outlineLevel="2" x14ac:dyDescent="0.25">
      <c r="A429" s="8" t="s">
        <v>259</v>
      </c>
      <c r="B429" s="34" t="s">
        <v>300</v>
      </c>
      <c r="C429" s="26" t="s">
        <v>376</v>
      </c>
      <c r="D429" s="26" t="s">
        <v>8</v>
      </c>
      <c r="E429" s="20">
        <f>SUM(F429:I429)</f>
        <v>3408.2000000000003</v>
      </c>
      <c r="F429" s="38">
        <f>K429+P429+U429</f>
        <v>0</v>
      </c>
      <c r="G429" s="38">
        <f t="shared" si="655"/>
        <v>0</v>
      </c>
      <c r="H429" s="38">
        <f t="shared" si="655"/>
        <v>3408.2000000000003</v>
      </c>
      <c r="I429" s="38">
        <f t="shared" si="655"/>
        <v>0</v>
      </c>
      <c r="J429" s="18">
        <f>SUM(K429:N429)</f>
        <v>3408.2000000000003</v>
      </c>
      <c r="K429" s="19">
        <v>0</v>
      </c>
      <c r="L429" s="19">
        <v>0</v>
      </c>
      <c r="M429" s="19">
        <f>3425.3-17.1</f>
        <v>3408.2000000000003</v>
      </c>
      <c r="N429" s="19">
        <v>0</v>
      </c>
      <c r="O429" s="18">
        <f t="shared" si="656"/>
        <v>0</v>
      </c>
      <c r="P429" s="19">
        <v>0</v>
      </c>
      <c r="Q429" s="19">
        <v>0</v>
      </c>
      <c r="R429" s="19">
        <v>0</v>
      </c>
      <c r="S429" s="19">
        <v>0</v>
      </c>
      <c r="T429" s="18">
        <f t="shared" si="653"/>
        <v>0</v>
      </c>
      <c r="U429" s="19">
        <v>0</v>
      </c>
      <c r="V429" s="19">
        <v>0</v>
      </c>
      <c r="W429" s="19">
        <v>0</v>
      </c>
      <c r="X429" s="19">
        <v>0</v>
      </c>
      <c r="Y429" s="18">
        <f>SUM(Z429:AC429)</f>
        <v>0</v>
      </c>
      <c r="Z429" s="19">
        <v>0</v>
      </c>
      <c r="AA429" s="19">
        <v>0</v>
      </c>
      <c r="AB429" s="19">
        <v>0</v>
      </c>
      <c r="AC429" s="19">
        <v>0</v>
      </c>
      <c r="AD429" s="18">
        <f>SUM(AE429:AH429)</f>
        <v>0</v>
      </c>
      <c r="AE429" s="19">
        <v>0</v>
      </c>
      <c r="AF429" s="19">
        <v>0</v>
      </c>
      <c r="AG429" s="19">
        <v>0</v>
      </c>
      <c r="AH429" s="19">
        <v>0</v>
      </c>
      <c r="AI429" s="18">
        <f>SUM(AJ429:AM429)</f>
        <v>0</v>
      </c>
      <c r="AJ429" s="19">
        <v>0</v>
      </c>
      <c r="AK429" s="19">
        <v>0</v>
      </c>
      <c r="AL429" s="19">
        <v>0</v>
      </c>
      <c r="AM429" s="19">
        <v>0</v>
      </c>
    </row>
    <row r="430" spans="1:39" s="2" customFormat="1" ht="78.75" outlineLevel="2" x14ac:dyDescent="0.25">
      <c r="A430" s="8" t="s">
        <v>299</v>
      </c>
      <c r="B430" s="34" t="s">
        <v>317</v>
      </c>
      <c r="C430" s="26" t="s">
        <v>376</v>
      </c>
      <c r="D430" s="26" t="s">
        <v>8</v>
      </c>
      <c r="E430" s="20">
        <f>SUM(F430:I430)</f>
        <v>152.19999999999999</v>
      </c>
      <c r="F430" s="38">
        <f>K430+P430+U430</f>
        <v>0</v>
      </c>
      <c r="G430" s="38">
        <f t="shared" si="655"/>
        <v>0</v>
      </c>
      <c r="H430" s="38">
        <f t="shared" si="655"/>
        <v>152.19999999999999</v>
      </c>
      <c r="I430" s="38">
        <f t="shared" si="655"/>
        <v>0</v>
      </c>
      <c r="J430" s="18">
        <f>SUM(K430:N430)</f>
        <v>72</v>
      </c>
      <c r="K430" s="19">
        <v>0</v>
      </c>
      <c r="L430" s="19">
        <v>0</v>
      </c>
      <c r="M430" s="19">
        <v>72</v>
      </c>
      <c r="N430" s="19">
        <v>0</v>
      </c>
      <c r="O430" s="18">
        <f t="shared" si="656"/>
        <v>80.2</v>
      </c>
      <c r="P430" s="19">
        <v>0</v>
      </c>
      <c r="Q430" s="19">
        <v>0</v>
      </c>
      <c r="R430" s="19">
        <v>80.2</v>
      </c>
      <c r="S430" s="19">
        <v>0</v>
      </c>
      <c r="T430" s="18">
        <f t="shared" si="653"/>
        <v>0</v>
      </c>
      <c r="U430" s="19">
        <v>0</v>
      </c>
      <c r="V430" s="19">
        <v>0</v>
      </c>
      <c r="W430" s="19">
        <v>0</v>
      </c>
      <c r="X430" s="19">
        <v>0</v>
      </c>
      <c r="Y430" s="18">
        <f>SUM(Z430:AC430)</f>
        <v>0</v>
      </c>
      <c r="Z430" s="19">
        <v>0</v>
      </c>
      <c r="AA430" s="19">
        <v>0</v>
      </c>
      <c r="AB430" s="19">
        <v>0</v>
      </c>
      <c r="AC430" s="19">
        <v>0</v>
      </c>
      <c r="AD430" s="18">
        <f>SUM(AE430:AH430)</f>
        <v>0</v>
      </c>
      <c r="AE430" s="19">
        <v>0</v>
      </c>
      <c r="AF430" s="19">
        <v>0</v>
      </c>
      <c r="AG430" s="19">
        <v>0</v>
      </c>
      <c r="AH430" s="19">
        <v>0</v>
      </c>
      <c r="AI430" s="18">
        <f>SUM(AJ430:AM430)</f>
        <v>0</v>
      </c>
      <c r="AJ430" s="19">
        <v>0</v>
      </c>
      <c r="AK430" s="19">
        <v>0</v>
      </c>
      <c r="AL430" s="19">
        <v>0</v>
      </c>
      <c r="AM430" s="19">
        <v>0</v>
      </c>
    </row>
    <row r="431" spans="1:39" s="2" customFormat="1" ht="47.25" outlineLevel="2" x14ac:dyDescent="0.25">
      <c r="A431" s="8" t="s">
        <v>431</v>
      </c>
      <c r="B431" s="34" t="s">
        <v>505</v>
      </c>
      <c r="C431" s="26" t="s">
        <v>32</v>
      </c>
      <c r="D431" s="26" t="s">
        <v>8</v>
      </c>
      <c r="E431" s="20">
        <f>SUM(F431:I431)</f>
        <v>8254.7999999999993</v>
      </c>
      <c r="F431" s="38">
        <f>K431+P431+U431</f>
        <v>0</v>
      </c>
      <c r="G431" s="38">
        <f t="shared" si="655"/>
        <v>0</v>
      </c>
      <c r="H431" s="38">
        <f t="shared" si="655"/>
        <v>8254.7999999999993</v>
      </c>
      <c r="I431" s="38">
        <f t="shared" si="655"/>
        <v>0</v>
      </c>
      <c r="J431" s="18">
        <f>SUM(K431:N431)</f>
        <v>0</v>
      </c>
      <c r="K431" s="19">
        <v>0</v>
      </c>
      <c r="L431" s="19">
        <v>0</v>
      </c>
      <c r="M431" s="19">
        <v>0</v>
      </c>
      <c r="N431" s="19">
        <v>0</v>
      </c>
      <c r="O431" s="18">
        <f>SUM(P431:S431)</f>
        <v>0</v>
      </c>
      <c r="P431" s="19">
        <v>0</v>
      </c>
      <c r="Q431" s="19">
        <v>0</v>
      </c>
      <c r="R431" s="19">
        <f>8254.8-8254.8</f>
        <v>0</v>
      </c>
      <c r="S431" s="19">
        <v>0</v>
      </c>
      <c r="T431" s="18">
        <f>SUM(U431:X431)</f>
        <v>8254.7999999999993</v>
      </c>
      <c r="U431" s="19">
        <v>0</v>
      </c>
      <c r="V431" s="19">
        <v>0</v>
      </c>
      <c r="W431" s="19">
        <v>8254.7999999999993</v>
      </c>
      <c r="X431" s="19">
        <v>0</v>
      </c>
      <c r="Y431" s="18">
        <f>SUM(Z431:AC431)</f>
        <v>0</v>
      </c>
      <c r="Z431" s="19">
        <v>0</v>
      </c>
      <c r="AA431" s="19">
        <v>0</v>
      </c>
      <c r="AB431" s="19">
        <v>0</v>
      </c>
      <c r="AC431" s="19">
        <v>0</v>
      </c>
      <c r="AD431" s="18">
        <f>SUM(AE431:AH431)</f>
        <v>0</v>
      </c>
      <c r="AE431" s="19">
        <v>0</v>
      </c>
      <c r="AF431" s="19">
        <v>0</v>
      </c>
      <c r="AG431" s="19">
        <v>0</v>
      </c>
      <c r="AH431" s="19">
        <v>0</v>
      </c>
      <c r="AI431" s="18">
        <f>SUM(AJ431:AM431)</f>
        <v>0</v>
      </c>
      <c r="AJ431" s="19">
        <v>0</v>
      </c>
      <c r="AK431" s="19">
        <v>0</v>
      </c>
      <c r="AL431" s="19">
        <v>0</v>
      </c>
      <c r="AM431" s="19">
        <v>0</v>
      </c>
    </row>
    <row r="432" spans="1:39" s="2" customFormat="1" ht="63" outlineLevel="2" x14ac:dyDescent="0.25">
      <c r="A432" s="8" t="s">
        <v>504</v>
      </c>
      <c r="B432" s="34" t="s">
        <v>732</v>
      </c>
      <c r="C432" s="26" t="s">
        <v>32</v>
      </c>
      <c r="D432" s="26" t="s">
        <v>8</v>
      </c>
      <c r="E432" s="20">
        <f>SUM(F432:I432)</f>
        <v>810.2</v>
      </c>
      <c r="F432" s="38">
        <f>K432+P432+U432</f>
        <v>0</v>
      </c>
      <c r="G432" s="38">
        <f t="shared" si="655"/>
        <v>0</v>
      </c>
      <c r="H432" s="38">
        <f t="shared" si="655"/>
        <v>810.2</v>
      </c>
      <c r="I432" s="38">
        <f t="shared" si="655"/>
        <v>0</v>
      </c>
      <c r="J432" s="18">
        <f>SUM(K432:N432)</f>
        <v>360.3</v>
      </c>
      <c r="K432" s="19">
        <v>0</v>
      </c>
      <c r="L432" s="19">
        <v>0</v>
      </c>
      <c r="M432" s="19">
        <v>360.3</v>
      </c>
      <c r="N432" s="19">
        <v>0</v>
      </c>
      <c r="O432" s="18">
        <f t="shared" si="656"/>
        <v>449.9</v>
      </c>
      <c r="P432" s="19">
        <v>0</v>
      </c>
      <c r="Q432" s="19">
        <v>0</v>
      </c>
      <c r="R432" s="19">
        <f>769.7+360.3-680.1</f>
        <v>449.9</v>
      </c>
      <c r="S432" s="19">
        <v>0</v>
      </c>
      <c r="T432" s="18">
        <f t="shared" si="653"/>
        <v>0</v>
      </c>
      <c r="U432" s="19">
        <v>0</v>
      </c>
      <c r="V432" s="19">
        <v>0</v>
      </c>
      <c r="W432" s="19">
        <v>0</v>
      </c>
      <c r="X432" s="19">
        <v>0</v>
      </c>
      <c r="Y432" s="18">
        <f>SUM(Z432:AC432)</f>
        <v>0</v>
      </c>
      <c r="Z432" s="19">
        <v>0</v>
      </c>
      <c r="AA432" s="19">
        <v>0</v>
      </c>
      <c r="AB432" s="19">
        <v>0</v>
      </c>
      <c r="AC432" s="19">
        <v>0</v>
      </c>
      <c r="AD432" s="18">
        <f>SUM(AE432:AH432)</f>
        <v>0</v>
      </c>
      <c r="AE432" s="19">
        <v>0</v>
      </c>
      <c r="AF432" s="19">
        <v>0</v>
      </c>
      <c r="AG432" s="19">
        <v>0</v>
      </c>
      <c r="AH432" s="19">
        <v>0</v>
      </c>
      <c r="AI432" s="18">
        <f>SUM(AJ432:AM432)</f>
        <v>0</v>
      </c>
      <c r="AJ432" s="19">
        <v>0</v>
      </c>
      <c r="AK432" s="19">
        <v>0</v>
      </c>
      <c r="AL432" s="19">
        <v>0</v>
      </c>
      <c r="AM432" s="19">
        <v>0</v>
      </c>
    </row>
    <row r="433" spans="1:39" s="2" customFormat="1" ht="63" customHeight="1" outlineLevel="1" x14ac:dyDescent="0.25">
      <c r="A433" s="165" t="s">
        <v>274</v>
      </c>
      <c r="B433" s="204" t="s">
        <v>284</v>
      </c>
      <c r="C433" s="201"/>
      <c r="D433" s="202"/>
      <c r="E433" s="20">
        <f>E434+E435+E436+E437</f>
        <v>1238.9000000000001</v>
      </c>
      <c r="F433" s="20">
        <f t="shared" ref="F433:AM433" si="657">F434+F435+F436+F437</f>
        <v>0</v>
      </c>
      <c r="G433" s="20">
        <f t="shared" si="657"/>
        <v>0</v>
      </c>
      <c r="H433" s="20">
        <f t="shared" si="657"/>
        <v>1238.9000000000001</v>
      </c>
      <c r="I433" s="20">
        <f t="shared" si="657"/>
        <v>0</v>
      </c>
      <c r="J433" s="20">
        <f t="shared" si="657"/>
        <v>200</v>
      </c>
      <c r="K433" s="20">
        <f t="shared" si="657"/>
        <v>0</v>
      </c>
      <c r="L433" s="20">
        <f t="shared" si="657"/>
        <v>0</v>
      </c>
      <c r="M433" s="20">
        <f t="shared" si="657"/>
        <v>200</v>
      </c>
      <c r="N433" s="20">
        <f t="shared" si="657"/>
        <v>0</v>
      </c>
      <c r="O433" s="20">
        <f t="shared" si="657"/>
        <v>90.2</v>
      </c>
      <c r="P433" s="20">
        <f t="shared" si="657"/>
        <v>0</v>
      </c>
      <c r="Q433" s="20">
        <f t="shared" si="657"/>
        <v>0</v>
      </c>
      <c r="R433" s="20">
        <f t="shared" si="657"/>
        <v>90.2</v>
      </c>
      <c r="S433" s="20">
        <f t="shared" si="657"/>
        <v>0</v>
      </c>
      <c r="T433" s="20">
        <f t="shared" si="657"/>
        <v>422.2</v>
      </c>
      <c r="U433" s="20">
        <f t="shared" si="657"/>
        <v>0</v>
      </c>
      <c r="V433" s="20">
        <f t="shared" si="657"/>
        <v>0</v>
      </c>
      <c r="W433" s="20">
        <f t="shared" si="657"/>
        <v>422.2</v>
      </c>
      <c r="X433" s="20">
        <f t="shared" si="657"/>
        <v>0</v>
      </c>
      <c r="Y433" s="20">
        <f t="shared" si="657"/>
        <v>526.5</v>
      </c>
      <c r="Z433" s="20">
        <f t="shared" si="657"/>
        <v>0</v>
      </c>
      <c r="AA433" s="20">
        <f t="shared" si="657"/>
        <v>0</v>
      </c>
      <c r="AB433" s="20">
        <f t="shared" si="657"/>
        <v>526.5</v>
      </c>
      <c r="AC433" s="20">
        <f t="shared" si="657"/>
        <v>0</v>
      </c>
      <c r="AD433" s="20">
        <f t="shared" si="657"/>
        <v>0</v>
      </c>
      <c r="AE433" s="20">
        <f t="shared" si="657"/>
        <v>0</v>
      </c>
      <c r="AF433" s="20">
        <f t="shared" si="657"/>
        <v>0</v>
      </c>
      <c r="AG433" s="20">
        <f t="shared" si="657"/>
        <v>0</v>
      </c>
      <c r="AH433" s="20">
        <f t="shared" si="657"/>
        <v>0</v>
      </c>
      <c r="AI433" s="20">
        <f t="shared" si="657"/>
        <v>0</v>
      </c>
      <c r="AJ433" s="20">
        <f t="shared" si="657"/>
        <v>0</v>
      </c>
      <c r="AK433" s="20">
        <f t="shared" si="657"/>
        <v>0</v>
      </c>
      <c r="AL433" s="20">
        <f t="shared" si="657"/>
        <v>0</v>
      </c>
      <c r="AM433" s="20">
        <f t="shared" si="657"/>
        <v>0</v>
      </c>
    </row>
    <row r="434" spans="1:39" s="2" customFormat="1" ht="47.25" outlineLevel="2" x14ac:dyDescent="0.25">
      <c r="A434" s="8" t="s">
        <v>275</v>
      </c>
      <c r="B434" s="33" t="s">
        <v>279</v>
      </c>
      <c r="C434" s="26" t="s">
        <v>31</v>
      </c>
      <c r="D434" s="26" t="s">
        <v>118</v>
      </c>
      <c r="E434" s="20">
        <f>SUM(F434:I434)</f>
        <v>200</v>
      </c>
      <c r="F434" s="38">
        <f>K434+P434+U434</f>
        <v>0</v>
      </c>
      <c r="G434" s="38">
        <f t="shared" ref="G434:H436" si="658">L434+Q434+V434+AA434+AF434+AK434</f>
        <v>0</v>
      </c>
      <c r="H434" s="38">
        <f t="shared" si="658"/>
        <v>200</v>
      </c>
      <c r="I434" s="38">
        <f t="shared" ref="I434:I450" si="659">N434+S434+X434+AC434+AH434+AM434</f>
        <v>0</v>
      </c>
      <c r="J434" s="18">
        <f>SUM(K434:N434)</f>
        <v>200</v>
      </c>
      <c r="K434" s="19">
        <v>0</v>
      </c>
      <c r="L434" s="19">
        <v>0</v>
      </c>
      <c r="M434" s="19">
        <v>200</v>
      </c>
      <c r="N434" s="19">
        <v>0</v>
      </c>
      <c r="O434" s="18">
        <f>SUM(P434:S434)</f>
        <v>0</v>
      </c>
      <c r="P434" s="19">
        <v>0</v>
      </c>
      <c r="Q434" s="19">
        <v>0</v>
      </c>
      <c r="R434" s="19">
        <v>0</v>
      </c>
      <c r="S434" s="19">
        <v>0</v>
      </c>
      <c r="T434" s="18">
        <f>SUM(U434:X434)</f>
        <v>0</v>
      </c>
      <c r="U434" s="19">
        <v>0</v>
      </c>
      <c r="V434" s="19">
        <v>0</v>
      </c>
      <c r="W434" s="19">
        <v>0</v>
      </c>
      <c r="X434" s="19">
        <v>0</v>
      </c>
      <c r="Y434" s="18">
        <f>SUM(Z434:AC434)</f>
        <v>0</v>
      </c>
      <c r="Z434" s="19">
        <v>0</v>
      </c>
      <c r="AA434" s="19">
        <v>0</v>
      </c>
      <c r="AB434" s="19">
        <v>0</v>
      </c>
      <c r="AC434" s="19">
        <v>0</v>
      </c>
      <c r="AD434" s="18">
        <f t="shared" ref="AD434:AD450" si="660">SUM(AE434:AH434)</f>
        <v>0</v>
      </c>
      <c r="AE434" s="19">
        <v>0</v>
      </c>
      <c r="AF434" s="19">
        <v>0</v>
      </c>
      <c r="AG434" s="19">
        <v>0</v>
      </c>
      <c r="AH434" s="19">
        <v>0</v>
      </c>
      <c r="AI434" s="18">
        <f>SUM(AJ434:AM434)</f>
        <v>0</v>
      </c>
      <c r="AJ434" s="19">
        <v>0</v>
      </c>
      <c r="AK434" s="19">
        <v>0</v>
      </c>
      <c r="AL434" s="19">
        <v>0</v>
      </c>
      <c r="AM434" s="19">
        <v>0</v>
      </c>
    </row>
    <row r="435" spans="1:39" s="2" customFormat="1" ht="78.75" outlineLevel="2" x14ac:dyDescent="0.25">
      <c r="A435" s="8" t="s">
        <v>737</v>
      </c>
      <c r="B435" s="34" t="s">
        <v>738</v>
      </c>
      <c r="C435" s="26" t="s">
        <v>32</v>
      </c>
      <c r="D435" s="26" t="s">
        <v>118</v>
      </c>
      <c r="E435" s="20">
        <f>SUM(F435:I435)</f>
        <v>90.2</v>
      </c>
      <c r="F435" s="38">
        <f>K435+P435+U435</f>
        <v>0</v>
      </c>
      <c r="G435" s="38">
        <f t="shared" si="658"/>
        <v>0</v>
      </c>
      <c r="H435" s="38">
        <f t="shared" si="658"/>
        <v>90.2</v>
      </c>
      <c r="I435" s="38"/>
      <c r="J435" s="18">
        <f>SUM(K435:N435)</f>
        <v>0</v>
      </c>
      <c r="K435" s="19">
        <v>0</v>
      </c>
      <c r="L435" s="19">
        <v>0</v>
      </c>
      <c r="M435" s="19">
        <v>0</v>
      </c>
      <c r="N435" s="19">
        <v>0</v>
      </c>
      <c r="O435" s="18">
        <f>R435</f>
        <v>90.2</v>
      </c>
      <c r="P435" s="19">
        <v>0</v>
      </c>
      <c r="Q435" s="19">
        <v>0</v>
      </c>
      <c r="R435" s="19">
        <v>90.2</v>
      </c>
      <c r="S435" s="19">
        <v>0</v>
      </c>
      <c r="T435" s="18">
        <f>SUM(U435:X435)</f>
        <v>0</v>
      </c>
      <c r="U435" s="19">
        <v>0</v>
      </c>
      <c r="V435" s="19">
        <v>0</v>
      </c>
      <c r="W435" s="19">
        <v>0</v>
      </c>
      <c r="X435" s="19">
        <v>0</v>
      </c>
      <c r="Y435" s="18">
        <f>SUM(Z435:AC435)</f>
        <v>0</v>
      </c>
      <c r="Z435" s="19">
        <v>0</v>
      </c>
      <c r="AA435" s="19">
        <v>0</v>
      </c>
      <c r="AB435" s="19">
        <v>0</v>
      </c>
      <c r="AC435" s="19">
        <v>0</v>
      </c>
      <c r="AD435" s="18">
        <f>SUM(AE435:AH435)</f>
        <v>0</v>
      </c>
      <c r="AE435" s="19">
        <v>0</v>
      </c>
      <c r="AF435" s="19">
        <v>0</v>
      </c>
      <c r="AG435" s="19">
        <v>0</v>
      </c>
      <c r="AH435" s="19">
        <v>0</v>
      </c>
      <c r="AI435" s="18">
        <f>SUM(AJ435:AM435)</f>
        <v>0</v>
      </c>
      <c r="AJ435" s="19">
        <v>0</v>
      </c>
      <c r="AK435" s="19">
        <v>0</v>
      </c>
      <c r="AL435" s="19">
        <v>0</v>
      </c>
      <c r="AM435" s="19">
        <v>0</v>
      </c>
    </row>
    <row r="436" spans="1:39" s="2" customFormat="1" ht="78.75" outlineLevel="2" x14ac:dyDescent="0.25">
      <c r="A436" s="8" t="s">
        <v>788</v>
      </c>
      <c r="B436" s="34" t="s">
        <v>789</v>
      </c>
      <c r="C436" s="26" t="s">
        <v>32</v>
      </c>
      <c r="D436" s="26" t="s">
        <v>118</v>
      </c>
      <c r="E436" s="20">
        <f>SUM(F436:I436)</f>
        <v>422.2</v>
      </c>
      <c r="F436" s="38">
        <f>K436+P436+U436</f>
        <v>0</v>
      </c>
      <c r="G436" s="38">
        <f t="shared" si="658"/>
        <v>0</v>
      </c>
      <c r="H436" s="38">
        <f t="shared" si="658"/>
        <v>422.2</v>
      </c>
      <c r="I436" s="38"/>
      <c r="J436" s="18">
        <f>SUM(K436:N436)</f>
        <v>0</v>
      </c>
      <c r="K436" s="19">
        <v>0</v>
      </c>
      <c r="L436" s="19">
        <v>0</v>
      </c>
      <c r="M436" s="19">
        <v>0</v>
      </c>
      <c r="N436" s="19">
        <v>0</v>
      </c>
      <c r="O436" s="18">
        <f>R436</f>
        <v>0</v>
      </c>
      <c r="P436" s="19">
        <v>0</v>
      </c>
      <c r="Q436" s="19">
        <v>0</v>
      </c>
      <c r="R436" s="19">
        <v>0</v>
      </c>
      <c r="S436" s="19">
        <v>0</v>
      </c>
      <c r="T436" s="18">
        <f>SUM(U436:X436)</f>
        <v>422.2</v>
      </c>
      <c r="U436" s="19">
        <v>0</v>
      </c>
      <c r="V436" s="19">
        <v>0</v>
      </c>
      <c r="W436" s="19">
        <v>422.2</v>
      </c>
      <c r="X436" s="19">
        <v>0</v>
      </c>
      <c r="Y436" s="18">
        <f>SUM(Z436:AC436)</f>
        <v>0</v>
      </c>
      <c r="Z436" s="19">
        <v>0</v>
      </c>
      <c r="AA436" s="19">
        <v>0</v>
      </c>
      <c r="AB436" s="19">
        <v>0</v>
      </c>
      <c r="AC436" s="19">
        <v>0</v>
      </c>
      <c r="AD436" s="18">
        <f>SUM(AE436:AH436)</f>
        <v>0</v>
      </c>
      <c r="AE436" s="19">
        <v>0</v>
      </c>
      <c r="AF436" s="19">
        <v>0</v>
      </c>
      <c r="AG436" s="19">
        <v>0</v>
      </c>
      <c r="AH436" s="19">
        <v>0</v>
      </c>
      <c r="AI436" s="18">
        <f>SUM(AJ436:AM436)</f>
        <v>0</v>
      </c>
      <c r="AJ436" s="19">
        <v>0</v>
      </c>
      <c r="AK436" s="19">
        <v>0</v>
      </c>
      <c r="AL436" s="19">
        <v>0</v>
      </c>
      <c r="AM436" s="19">
        <v>0</v>
      </c>
    </row>
    <row r="437" spans="1:39" s="2" customFormat="1" ht="63" outlineLevel="2" x14ac:dyDescent="0.25">
      <c r="A437" s="8" t="s">
        <v>1013</v>
      </c>
      <c r="B437" s="34" t="s">
        <v>1138</v>
      </c>
      <c r="C437" s="26" t="s">
        <v>32</v>
      </c>
      <c r="D437" s="26" t="s">
        <v>118</v>
      </c>
      <c r="E437" s="20">
        <f>SUM(F437:I437)</f>
        <v>526.5</v>
      </c>
      <c r="F437" s="38">
        <f>K437+P437+U437</f>
        <v>0</v>
      </c>
      <c r="G437" s="38">
        <f t="shared" ref="G437" si="661">L437+Q437+V437+AA437+AF437+AK437</f>
        <v>0</v>
      </c>
      <c r="H437" s="38">
        <f t="shared" ref="H437" si="662">M437+R437+W437+AB437+AG437+AL437</f>
        <v>526.5</v>
      </c>
      <c r="I437" s="38"/>
      <c r="J437" s="18">
        <f>SUM(K437:N437)</f>
        <v>0</v>
      </c>
      <c r="K437" s="19">
        <v>0</v>
      </c>
      <c r="L437" s="19">
        <v>0</v>
      </c>
      <c r="M437" s="19">
        <v>0</v>
      </c>
      <c r="N437" s="19">
        <v>0</v>
      </c>
      <c r="O437" s="18">
        <f>R437</f>
        <v>0</v>
      </c>
      <c r="P437" s="19">
        <v>0</v>
      </c>
      <c r="Q437" s="19">
        <v>0</v>
      </c>
      <c r="R437" s="19">
        <v>0</v>
      </c>
      <c r="S437" s="19">
        <v>0</v>
      </c>
      <c r="T437" s="18">
        <f>SUM(U437:X437)</f>
        <v>0</v>
      </c>
      <c r="U437" s="19">
        <v>0</v>
      </c>
      <c r="V437" s="19">
        <v>0</v>
      </c>
      <c r="W437" s="19">
        <v>0</v>
      </c>
      <c r="X437" s="19">
        <v>0</v>
      </c>
      <c r="Y437" s="18">
        <f>SUM(Z437:AC437)</f>
        <v>526.5</v>
      </c>
      <c r="Z437" s="19">
        <v>0</v>
      </c>
      <c r="AA437" s="19">
        <v>0</v>
      </c>
      <c r="AB437" s="19">
        <v>526.5</v>
      </c>
      <c r="AC437" s="19">
        <v>0</v>
      </c>
      <c r="AD437" s="18">
        <f>SUM(AE437:AH437)</f>
        <v>0</v>
      </c>
      <c r="AE437" s="19">
        <v>0</v>
      </c>
      <c r="AF437" s="19">
        <v>0</v>
      </c>
      <c r="AG437" s="19">
        <v>0</v>
      </c>
      <c r="AH437" s="19">
        <v>0</v>
      </c>
      <c r="AI437" s="18">
        <f>SUM(AJ437:AM437)</f>
        <v>0</v>
      </c>
      <c r="AJ437" s="19">
        <v>0</v>
      </c>
      <c r="AK437" s="19">
        <v>0</v>
      </c>
      <c r="AL437" s="19">
        <v>0</v>
      </c>
      <c r="AM437" s="19">
        <v>0</v>
      </c>
    </row>
    <row r="438" spans="1:39" s="2" customFormat="1" ht="57" customHeight="1" outlineLevel="1" x14ac:dyDescent="0.25">
      <c r="A438" s="165" t="s">
        <v>277</v>
      </c>
      <c r="B438" s="204" t="s">
        <v>392</v>
      </c>
      <c r="C438" s="201"/>
      <c r="D438" s="202"/>
      <c r="E438" s="20">
        <f t="shared" ref="E438:AM438" si="663">SUM(E439:E461)</f>
        <v>2741.2</v>
      </c>
      <c r="F438" s="20">
        <f t="shared" si="663"/>
        <v>0</v>
      </c>
      <c r="G438" s="20">
        <f t="shared" si="663"/>
        <v>0</v>
      </c>
      <c r="H438" s="20">
        <f t="shared" si="663"/>
        <v>2741.2</v>
      </c>
      <c r="I438" s="20">
        <f t="shared" si="663"/>
        <v>0</v>
      </c>
      <c r="J438" s="20">
        <f t="shared" si="663"/>
        <v>1080.8</v>
      </c>
      <c r="K438" s="20">
        <f t="shared" si="663"/>
        <v>0</v>
      </c>
      <c r="L438" s="20">
        <f t="shared" si="663"/>
        <v>0</v>
      </c>
      <c r="M438" s="20">
        <f t="shared" si="663"/>
        <v>1080.8</v>
      </c>
      <c r="N438" s="20">
        <f t="shared" si="663"/>
        <v>0</v>
      </c>
      <c r="O438" s="20">
        <f t="shared" si="663"/>
        <v>841.40000000000009</v>
      </c>
      <c r="P438" s="20">
        <f t="shared" si="663"/>
        <v>0</v>
      </c>
      <c r="Q438" s="20">
        <f t="shared" si="663"/>
        <v>0</v>
      </c>
      <c r="R438" s="20">
        <f t="shared" si="663"/>
        <v>841.40000000000009</v>
      </c>
      <c r="S438" s="20">
        <f t="shared" si="663"/>
        <v>0</v>
      </c>
      <c r="T438" s="20">
        <f t="shared" si="663"/>
        <v>377</v>
      </c>
      <c r="U438" s="20">
        <f t="shared" si="663"/>
        <v>0</v>
      </c>
      <c r="V438" s="20">
        <f t="shared" si="663"/>
        <v>0</v>
      </c>
      <c r="W438" s="20">
        <f t="shared" si="663"/>
        <v>377</v>
      </c>
      <c r="X438" s="20">
        <f t="shared" si="663"/>
        <v>0</v>
      </c>
      <c r="Y438" s="20">
        <f t="shared" si="663"/>
        <v>442</v>
      </c>
      <c r="Z438" s="20">
        <f t="shared" si="663"/>
        <v>0</v>
      </c>
      <c r="AA438" s="20">
        <f t="shared" si="663"/>
        <v>0</v>
      </c>
      <c r="AB438" s="20">
        <f t="shared" si="663"/>
        <v>442</v>
      </c>
      <c r="AC438" s="20">
        <f t="shared" si="663"/>
        <v>0</v>
      </c>
      <c r="AD438" s="20">
        <f t="shared" si="663"/>
        <v>0</v>
      </c>
      <c r="AE438" s="20">
        <f t="shared" si="663"/>
        <v>0</v>
      </c>
      <c r="AF438" s="20">
        <f t="shared" si="663"/>
        <v>0</v>
      </c>
      <c r="AG438" s="20">
        <f t="shared" si="663"/>
        <v>0</v>
      </c>
      <c r="AH438" s="20">
        <f t="shared" si="663"/>
        <v>0</v>
      </c>
      <c r="AI438" s="20">
        <f t="shared" si="663"/>
        <v>0</v>
      </c>
      <c r="AJ438" s="20">
        <f t="shared" si="663"/>
        <v>0</v>
      </c>
      <c r="AK438" s="20">
        <f t="shared" si="663"/>
        <v>0</v>
      </c>
      <c r="AL438" s="20">
        <f t="shared" si="663"/>
        <v>0</v>
      </c>
      <c r="AM438" s="20">
        <f t="shared" si="663"/>
        <v>0</v>
      </c>
    </row>
    <row r="439" spans="1:39" s="2" customFormat="1" ht="78.75" outlineLevel="2" x14ac:dyDescent="0.25">
      <c r="A439" s="8" t="s">
        <v>278</v>
      </c>
      <c r="B439" s="33" t="s">
        <v>301</v>
      </c>
      <c r="C439" s="26" t="s">
        <v>376</v>
      </c>
      <c r="D439" s="26" t="s">
        <v>118</v>
      </c>
      <c r="E439" s="20">
        <f t="shared" ref="E439:E454" si="664">SUM(F439:I439)</f>
        <v>135</v>
      </c>
      <c r="F439" s="38">
        <f>K439+P439+U439</f>
        <v>0</v>
      </c>
      <c r="G439" s="38">
        <f>L439+Q439+V439+AA439+AF439+AK439</f>
        <v>0</v>
      </c>
      <c r="H439" s="38">
        <f>M439+R439+W439+AB439+AG439+AL439</f>
        <v>135</v>
      </c>
      <c r="I439" s="38">
        <f t="shared" si="659"/>
        <v>0</v>
      </c>
      <c r="J439" s="18">
        <f t="shared" ref="J439:J450" si="665">SUM(K439:N439)</f>
        <v>135</v>
      </c>
      <c r="K439" s="19">
        <v>0</v>
      </c>
      <c r="L439" s="19">
        <v>0</v>
      </c>
      <c r="M439" s="19">
        <v>135</v>
      </c>
      <c r="N439" s="19">
        <v>0</v>
      </c>
      <c r="O439" s="18">
        <f t="shared" si="656"/>
        <v>0</v>
      </c>
      <c r="P439" s="19">
        <v>0</v>
      </c>
      <c r="Q439" s="19">
        <v>0</v>
      </c>
      <c r="R439" s="19">
        <v>0</v>
      </c>
      <c r="S439" s="19">
        <v>0</v>
      </c>
      <c r="T439" s="18">
        <f t="shared" ref="T439:T450" si="666">SUM(U439:X439)</f>
        <v>0</v>
      </c>
      <c r="U439" s="19">
        <v>0</v>
      </c>
      <c r="V439" s="19">
        <v>0</v>
      </c>
      <c r="W439" s="19">
        <v>0</v>
      </c>
      <c r="X439" s="19">
        <v>0</v>
      </c>
      <c r="Y439" s="18">
        <f>SUM(Z439:AC439)</f>
        <v>0</v>
      </c>
      <c r="Z439" s="19">
        <v>0</v>
      </c>
      <c r="AA439" s="19">
        <v>0</v>
      </c>
      <c r="AB439" s="19">
        <v>0</v>
      </c>
      <c r="AC439" s="19">
        <v>0</v>
      </c>
      <c r="AD439" s="18">
        <f t="shared" si="660"/>
        <v>0</v>
      </c>
      <c r="AE439" s="19">
        <v>0</v>
      </c>
      <c r="AF439" s="19">
        <v>0</v>
      </c>
      <c r="AG439" s="19">
        <v>0</v>
      </c>
      <c r="AH439" s="19">
        <v>0</v>
      </c>
      <c r="AI439" s="18">
        <f t="shared" ref="AI439:AI450" si="667">SUM(AJ439:AM439)</f>
        <v>0</v>
      </c>
      <c r="AJ439" s="19">
        <v>0</v>
      </c>
      <c r="AK439" s="19">
        <v>0</v>
      </c>
      <c r="AL439" s="19">
        <v>0</v>
      </c>
      <c r="AM439" s="19">
        <v>0</v>
      </c>
    </row>
    <row r="440" spans="1:39" s="2" customFormat="1" ht="78.75" outlineLevel="2" x14ac:dyDescent="0.25">
      <c r="A440" s="8" t="s">
        <v>302</v>
      </c>
      <c r="B440" s="33" t="s">
        <v>303</v>
      </c>
      <c r="C440" s="26" t="s">
        <v>376</v>
      </c>
      <c r="D440" s="26" t="s">
        <v>118</v>
      </c>
      <c r="E440" s="20">
        <f t="shared" si="664"/>
        <v>342.5</v>
      </c>
      <c r="F440" s="38">
        <f>K440+P440+U440</f>
        <v>0</v>
      </c>
      <c r="G440" s="38">
        <f t="shared" ref="F440:G450" si="668">L440+Q440+V440+AA440+AF440+AK440</f>
        <v>0</v>
      </c>
      <c r="H440" s="38">
        <f t="shared" ref="H440:H450" si="669">M440+R440+W440+AB440+AG440+AL440</f>
        <v>342.5</v>
      </c>
      <c r="I440" s="38">
        <f t="shared" si="659"/>
        <v>0</v>
      </c>
      <c r="J440" s="18">
        <f t="shared" si="665"/>
        <v>342.5</v>
      </c>
      <c r="K440" s="19">
        <v>0</v>
      </c>
      <c r="L440" s="19">
        <v>0</v>
      </c>
      <c r="M440" s="19">
        <v>342.5</v>
      </c>
      <c r="N440" s="19">
        <v>0</v>
      </c>
      <c r="O440" s="18">
        <f t="shared" si="656"/>
        <v>0</v>
      </c>
      <c r="P440" s="19">
        <v>0</v>
      </c>
      <c r="Q440" s="19">
        <v>0</v>
      </c>
      <c r="R440" s="19">
        <v>0</v>
      </c>
      <c r="S440" s="19">
        <v>0</v>
      </c>
      <c r="T440" s="18">
        <f t="shared" si="666"/>
        <v>0</v>
      </c>
      <c r="U440" s="19">
        <v>0</v>
      </c>
      <c r="V440" s="19">
        <v>0</v>
      </c>
      <c r="W440" s="19">
        <v>0</v>
      </c>
      <c r="X440" s="19">
        <v>0</v>
      </c>
      <c r="Y440" s="18">
        <f t="shared" ref="Y440:Y450" si="670">SUM(Z440:AC440)</f>
        <v>0</v>
      </c>
      <c r="Z440" s="19">
        <v>0</v>
      </c>
      <c r="AA440" s="19">
        <v>0</v>
      </c>
      <c r="AB440" s="19">
        <v>0</v>
      </c>
      <c r="AC440" s="19">
        <v>0</v>
      </c>
      <c r="AD440" s="18">
        <f t="shared" si="660"/>
        <v>0</v>
      </c>
      <c r="AE440" s="19">
        <v>0</v>
      </c>
      <c r="AF440" s="19">
        <v>0</v>
      </c>
      <c r="AG440" s="19">
        <v>0</v>
      </c>
      <c r="AH440" s="19">
        <v>0</v>
      </c>
      <c r="AI440" s="18">
        <f t="shared" si="667"/>
        <v>0</v>
      </c>
      <c r="AJ440" s="19">
        <v>0</v>
      </c>
      <c r="AK440" s="19">
        <v>0</v>
      </c>
      <c r="AL440" s="19">
        <v>0</v>
      </c>
      <c r="AM440" s="19">
        <v>0</v>
      </c>
    </row>
    <row r="441" spans="1:39" s="2" customFormat="1" ht="78.75" outlineLevel="2" x14ac:dyDescent="0.25">
      <c r="A441" s="8" t="s">
        <v>310</v>
      </c>
      <c r="B441" s="33" t="s">
        <v>311</v>
      </c>
      <c r="C441" s="26" t="s">
        <v>376</v>
      </c>
      <c r="D441" s="26" t="s">
        <v>118</v>
      </c>
      <c r="E441" s="20">
        <f t="shared" si="664"/>
        <v>20.399999999999999</v>
      </c>
      <c r="F441" s="38">
        <f>K441+P441+U441</f>
        <v>0</v>
      </c>
      <c r="G441" s="38">
        <f t="shared" si="668"/>
        <v>0</v>
      </c>
      <c r="H441" s="38">
        <f t="shared" si="669"/>
        <v>20.399999999999999</v>
      </c>
      <c r="I441" s="38">
        <f t="shared" si="659"/>
        <v>0</v>
      </c>
      <c r="J441" s="18">
        <f t="shared" si="665"/>
        <v>20.399999999999999</v>
      </c>
      <c r="K441" s="19">
        <v>0</v>
      </c>
      <c r="L441" s="19">
        <v>0</v>
      </c>
      <c r="M441" s="19">
        <v>20.399999999999999</v>
      </c>
      <c r="N441" s="19">
        <v>0</v>
      </c>
      <c r="O441" s="18">
        <f t="shared" si="656"/>
        <v>0</v>
      </c>
      <c r="P441" s="19">
        <v>0</v>
      </c>
      <c r="Q441" s="19">
        <v>0</v>
      </c>
      <c r="R441" s="19">
        <v>0</v>
      </c>
      <c r="S441" s="19">
        <v>0</v>
      </c>
      <c r="T441" s="18">
        <f t="shared" si="666"/>
        <v>0</v>
      </c>
      <c r="U441" s="19">
        <v>0</v>
      </c>
      <c r="V441" s="19">
        <v>0</v>
      </c>
      <c r="W441" s="19">
        <v>0</v>
      </c>
      <c r="X441" s="19">
        <v>0</v>
      </c>
      <c r="Y441" s="18">
        <f t="shared" si="670"/>
        <v>0</v>
      </c>
      <c r="Z441" s="19">
        <v>0</v>
      </c>
      <c r="AA441" s="19">
        <v>0</v>
      </c>
      <c r="AB441" s="19">
        <v>0</v>
      </c>
      <c r="AC441" s="19">
        <v>0</v>
      </c>
      <c r="AD441" s="18">
        <f t="shared" si="660"/>
        <v>0</v>
      </c>
      <c r="AE441" s="19">
        <v>0</v>
      </c>
      <c r="AF441" s="19">
        <v>0</v>
      </c>
      <c r="AG441" s="19">
        <v>0</v>
      </c>
      <c r="AH441" s="19">
        <v>0</v>
      </c>
      <c r="AI441" s="18">
        <f t="shared" si="667"/>
        <v>0</v>
      </c>
      <c r="AJ441" s="19">
        <v>0</v>
      </c>
      <c r="AK441" s="19">
        <v>0</v>
      </c>
      <c r="AL441" s="19">
        <v>0</v>
      </c>
      <c r="AM441" s="19">
        <v>0</v>
      </c>
    </row>
    <row r="442" spans="1:39" s="2" customFormat="1" ht="94.5" outlineLevel="2" x14ac:dyDescent="0.25">
      <c r="A442" s="8" t="s">
        <v>312</v>
      </c>
      <c r="B442" s="33" t="s">
        <v>313</v>
      </c>
      <c r="C442" s="26" t="s">
        <v>376</v>
      </c>
      <c r="D442" s="26" t="s">
        <v>118</v>
      </c>
      <c r="E442" s="20">
        <f t="shared" si="664"/>
        <v>270</v>
      </c>
      <c r="F442" s="38">
        <f>K442+P442+U442</f>
        <v>0</v>
      </c>
      <c r="G442" s="38">
        <f t="shared" si="668"/>
        <v>0</v>
      </c>
      <c r="H442" s="38">
        <f t="shared" si="669"/>
        <v>270</v>
      </c>
      <c r="I442" s="38">
        <f t="shared" si="659"/>
        <v>0</v>
      </c>
      <c r="J442" s="18">
        <f t="shared" si="665"/>
        <v>270</v>
      </c>
      <c r="K442" s="19">
        <v>0</v>
      </c>
      <c r="L442" s="19">
        <v>0</v>
      </c>
      <c r="M442" s="19">
        <v>270</v>
      </c>
      <c r="N442" s="19">
        <v>0</v>
      </c>
      <c r="O442" s="18">
        <f t="shared" si="656"/>
        <v>0</v>
      </c>
      <c r="P442" s="19">
        <v>0</v>
      </c>
      <c r="Q442" s="19">
        <v>0</v>
      </c>
      <c r="R442" s="19">
        <v>0</v>
      </c>
      <c r="S442" s="19">
        <v>0</v>
      </c>
      <c r="T442" s="18">
        <f t="shared" si="666"/>
        <v>0</v>
      </c>
      <c r="U442" s="19">
        <v>0</v>
      </c>
      <c r="V442" s="19">
        <v>0</v>
      </c>
      <c r="W442" s="19">
        <v>0</v>
      </c>
      <c r="X442" s="19">
        <v>0</v>
      </c>
      <c r="Y442" s="18">
        <f t="shared" si="670"/>
        <v>0</v>
      </c>
      <c r="Z442" s="19">
        <v>0</v>
      </c>
      <c r="AA442" s="19">
        <v>0</v>
      </c>
      <c r="AB442" s="19">
        <v>0</v>
      </c>
      <c r="AC442" s="19">
        <v>0</v>
      </c>
      <c r="AD442" s="18">
        <f t="shared" si="660"/>
        <v>0</v>
      </c>
      <c r="AE442" s="19">
        <v>0</v>
      </c>
      <c r="AF442" s="19">
        <v>0</v>
      </c>
      <c r="AG442" s="19">
        <v>0</v>
      </c>
      <c r="AH442" s="19">
        <v>0</v>
      </c>
      <c r="AI442" s="18">
        <f t="shared" si="667"/>
        <v>0</v>
      </c>
      <c r="AJ442" s="19">
        <v>0</v>
      </c>
      <c r="AK442" s="19">
        <v>0</v>
      </c>
      <c r="AL442" s="19">
        <v>0</v>
      </c>
      <c r="AM442" s="19">
        <v>0</v>
      </c>
    </row>
    <row r="443" spans="1:39" s="2" customFormat="1" ht="78.75" outlineLevel="2" x14ac:dyDescent="0.25">
      <c r="A443" s="8" t="s">
        <v>363</v>
      </c>
      <c r="B443" s="34" t="s">
        <v>359</v>
      </c>
      <c r="C443" s="26" t="s">
        <v>376</v>
      </c>
      <c r="D443" s="26" t="s">
        <v>118</v>
      </c>
      <c r="E443" s="20">
        <f t="shared" si="664"/>
        <v>165.4</v>
      </c>
      <c r="F443" s="38">
        <f t="shared" si="668"/>
        <v>0</v>
      </c>
      <c r="G443" s="38">
        <f t="shared" si="668"/>
        <v>0</v>
      </c>
      <c r="H443" s="38">
        <f t="shared" si="669"/>
        <v>165.4</v>
      </c>
      <c r="I443" s="38">
        <f t="shared" si="659"/>
        <v>0</v>
      </c>
      <c r="J443" s="18">
        <f t="shared" si="665"/>
        <v>165.4</v>
      </c>
      <c r="K443" s="19">
        <v>0</v>
      </c>
      <c r="L443" s="19">
        <v>0</v>
      </c>
      <c r="M443" s="19">
        <v>165.4</v>
      </c>
      <c r="N443" s="19">
        <v>0</v>
      </c>
      <c r="O443" s="18">
        <f t="shared" si="656"/>
        <v>0</v>
      </c>
      <c r="P443" s="19">
        <v>0</v>
      </c>
      <c r="Q443" s="19">
        <v>0</v>
      </c>
      <c r="R443" s="19">
        <v>0</v>
      </c>
      <c r="S443" s="19">
        <v>0</v>
      </c>
      <c r="T443" s="18">
        <f t="shared" si="666"/>
        <v>0</v>
      </c>
      <c r="U443" s="19">
        <v>0</v>
      </c>
      <c r="V443" s="19">
        <v>0</v>
      </c>
      <c r="W443" s="19">
        <v>0</v>
      </c>
      <c r="X443" s="19">
        <v>0</v>
      </c>
      <c r="Y443" s="18">
        <f t="shared" si="670"/>
        <v>0</v>
      </c>
      <c r="Z443" s="19">
        <v>0</v>
      </c>
      <c r="AA443" s="19">
        <v>0</v>
      </c>
      <c r="AB443" s="19">
        <v>0</v>
      </c>
      <c r="AC443" s="19">
        <v>0</v>
      </c>
      <c r="AD443" s="18">
        <f t="shared" si="660"/>
        <v>0</v>
      </c>
      <c r="AE443" s="19">
        <v>0</v>
      </c>
      <c r="AF443" s="19">
        <v>0</v>
      </c>
      <c r="AG443" s="19">
        <v>0</v>
      </c>
      <c r="AH443" s="19">
        <v>0</v>
      </c>
      <c r="AI443" s="18">
        <f t="shared" si="667"/>
        <v>0</v>
      </c>
      <c r="AJ443" s="19">
        <v>0</v>
      </c>
      <c r="AK443" s="19">
        <v>0</v>
      </c>
      <c r="AL443" s="19">
        <v>0</v>
      </c>
      <c r="AM443" s="19">
        <v>0</v>
      </c>
    </row>
    <row r="444" spans="1:39" s="2" customFormat="1" ht="63" outlineLevel="2" x14ac:dyDescent="0.25">
      <c r="A444" s="8" t="s">
        <v>390</v>
      </c>
      <c r="B444" s="34" t="s">
        <v>434</v>
      </c>
      <c r="C444" s="26" t="s">
        <v>32</v>
      </c>
      <c r="D444" s="26" t="s">
        <v>118</v>
      </c>
      <c r="E444" s="20">
        <f t="shared" si="664"/>
        <v>20</v>
      </c>
      <c r="F444" s="38">
        <f t="shared" si="668"/>
        <v>0</v>
      </c>
      <c r="G444" s="38">
        <f t="shared" si="668"/>
        <v>0</v>
      </c>
      <c r="H444" s="38">
        <f t="shared" si="669"/>
        <v>20</v>
      </c>
      <c r="I444" s="38">
        <f t="shared" si="659"/>
        <v>0</v>
      </c>
      <c r="J444" s="18">
        <f t="shared" si="665"/>
        <v>0</v>
      </c>
      <c r="K444" s="19">
        <v>0</v>
      </c>
      <c r="L444" s="19">
        <v>0</v>
      </c>
      <c r="M444" s="19">
        <v>0</v>
      </c>
      <c r="N444" s="19">
        <v>0</v>
      </c>
      <c r="O444" s="18">
        <f t="shared" si="656"/>
        <v>20</v>
      </c>
      <c r="P444" s="19">
        <v>0</v>
      </c>
      <c r="Q444" s="19">
        <v>0</v>
      </c>
      <c r="R444" s="19">
        <f>29.9-9.9</f>
        <v>20</v>
      </c>
      <c r="S444" s="19">
        <v>0</v>
      </c>
      <c r="T444" s="18">
        <f t="shared" si="666"/>
        <v>0</v>
      </c>
      <c r="U444" s="19">
        <v>0</v>
      </c>
      <c r="V444" s="19">
        <v>0</v>
      </c>
      <c r="W444" s="19">
        <v>0</v>
      </c>
      <c r="X444" s="19">
        <v>0</v>
      </c>
      <c r="Y444" s="18">
        <f t="shared" si="670"/>
        <v>0</v>
      </c>
      <c r="Z444" s="19">
        <v>0</v>
      </c>
      <c r="AA444" s="19">
        <v>0</v>
      </c>
      <c r="AB444" s="19">
        <v>0</v>
      </c>
      <c r="AC444" s="19">
        <v>0</v>
      </c>
      <c r="AD444" s="18">
        <f t="shared" si="660"/>
        <v>0</v>
      </c>
      <c r="AE444" s="19">
        <v>0</v>
      </c>
      <c r="AF444" s="19">
        <v>0</v>
      </c>
      <c r="AG444" s="19">
        <v>0</v>
      </c>
      <c r="AH444" s="19">
        <v>0</v>
      </c>
      <c r="AI444" s="18">
        <f t="shared" si="667"/>
        <v>0</v>
      </c>
      <c r="AJ444" s="19">
        <v>0</v>
      </c>
      <c r="AK444" s="19">
        <v>0</v>
      </c>
      <c r="AL444" s="19">
        <v>0</v>
      </c>
      <c r="AM444" s="19">
        <v>0</v>
      </c>
    </row>
    <row r="445" spans="1:39" s="2" customFormat="1" ht="63" outlineLevel="2" x14ac:dyDescent="0.25">
      <c r="A445" s="8" t="s">
        <v>447</v>
      </c>
      <c r="B445" s="34" t="s">
        <v>435</v>
      </c>
      <c r="C445" s="26" t="s">
        <v>32</v>
      </c>
      <c r="D445" s="26" t="s">
        <v>118</v>
      </c>
      <c r="E445" s="20">
        <f t="shared" si="664"/>
        <v>160.1</v>
      </c>
      <c r="F445" s="38">
        <f t="shared" si="668"/>
        <v>0</v>
      </c>
      <c r="G445" s="38">
        <f t="shared" si="668"/>
        <v>0</v>
      </c>
      <c r="H445" s="38">
        <f t="shared" si="669"/>
        <v>160.1</v>
      </c>
      <c r="I445" s="38">
        <f t="shared" si="659"/>
        <v>0</v>
      </c>
      <c r="J445" s="18">
        <f t="shared" si="665"/>
        <v>0</v>
      </c>
      <c r="K445" s="19">
        <v>0</v>
      </c>
      <c r="L445" s="19">
        <v>0</v>
      </c>
      <c r="M445" s="19">
        <v>0</v>
      </c>
      <c r="N445" s="19">
        <v>0</v>
      </c>
      <c r="O445" s="18">
        <f t="shared" si="656"/>
        <v>160.1</v>
      </c>
      <c r="P445" s="19">
        <v>0</v>
      </c>
      <c r="Q445" s="19">
        <v>0</v>
      </c>
      <c r="R445" s="19">
        <v>160.1</v>
      </c>
      <c r="S445" s="19">
        <v>0</v>
      </c>
      <c r="T445" s="18">
        <f t="shared" si="666"/>
        <v>0</v>
      </c>
      <c r="U445" s="19">
        <v>0</v>
      </c>
      <c r="V445" s="19">
        <v>0</v>
      </c>
      <c r="W445" s="19">
        <v>0</v>
      </c>
      <c r="X445" s="19">
        <v>0</v>
      </c>
      <c r="Y445" s="18">
        <f t="shared" si="670"/>
        <v>0</v>
      </c>
      <c r="Z445" s="19">
        <v>0</v>
      </c>
      <c r="AA445" s="19">
        <v>0</v>
      </c>
      <c r="AB445" s="19">
        <v>0</v>
      </c>
      <c r="AC445" s="19">
        <v>0</v>
      </c>
      <c r="AD445" s="18">
        <f t="shared" si="660"/>
        <v>0</v>
      </c>
      <c r="AE445" s="19">
        <v>0</v>
      </c>
      <c r="AF445" s="19">
        <v>0</v>
      </c>
      <c r="AG445" s="19">
        <v>0</v>
      </c>
      <c r="AH445" s="19">
        <v>0</v>
      </c>
      <c r="AI445" s="18">
        <f t="shared" si="667"/>
        <v>0</v>
      </c>
      <c r="AJ445" s="19">
        <v>0</v>
      </c>
      <c r="AK445" s="19">
        <v>0</v>
      </c>
      <c r="AL445" s="19">
        <v>0</v>
      </c>
      <c r="AM445" s="19">
        <v>0</v>
      </c>
    </row>
    <row r="446" spans="1:39" s="2" customFormat="1" ht="63" outlineLevel="2" x14ac:dyDescent="0.25">
      <c r="A446" s="8" t="s">
        <v>448</v>
      </c>
      <c r="B446" s="34" t="s">
        <v>816</v>
      </c>
      <c r="C446" s="26" t="s">
        <v>32</v>
      </c>
      <c r="D446" s="26" t="s">
        <v>118</v>
      </c>
      <c r="E446" s="20">
        <f t="shared" si="664"/>
        <v>45</v>
      </c>
      <c r="F446" s="38">
        <f t="shared" si="668"/>
        <v>0</v>
      </c>
      <c r="G446" s="38">
        <f t="shared" si="668"/>
        <v>0</v>
      </c>
      <c r="H446" s="38">
        <f t="shared" si="669"/>
        <v>45</v>
      </c>
      <c r="I446" s="38">
        <f t="shared" si="659"/>
        <v>0</v>
      </c>
      <c r="J446" s="18">
        <f t="shared" si="665"/>
        <v>0</v>
      </c>
      <c r="K446" s="19">
        <v>0</v>
      </c>
      <c r="L446" s="19">
        <v>0</v>
      </c>
      <c r="M446" s="19">
        <v>0</v>
      </c>
      <c r="N446" s="19">
        <v>0</v>
      </c>
      <c r="O446" s="18">
        <f t="shared" si="656"/>
        <v>45</v>
      </c>
      <c r="P446" s="19">
        <v>0</v>
      </c>
      <c r="Q446" s="19">
        <v>0</v>
      </c>
      <c r="R446" s="19">
        <f>63.3-18.3</f>
        <v>45</v>
      </c>
      <c r="S446" s="19">
        <v>0</v>
      </c>
      <c r="T446" s="18">
        <f t="shared" si="666"/>
        <v>0</v>
      </c>
      <c r="U446" s="19">
        <v>0</v>
      </c>
      <c r="V446" s="19">
        <v>0</v>
      </c>
      <c r="W446" s="19">
        <v>0</v>
      </c>
      <c r="X446" s="19">
        <v>0</v>
      </c>
      <c r="Y446" s="18">
        <f t="shared" si="670"/>
        <v>0</v>
      </c>
      <c r="Z446" s="19">
        <v>0</v>
      </c>
      <c r="AA446" s="19">
        <v>0</v>
      </c>
      <c r="AB446" s="19">
        <v>0</v>
      </c>
      <c r="AC446" s="19">
        <v>0</v>
      </c>
      <c r="AD446" s="18">
        <f t="shared" si="660"/>
        <v>0</v>
      </c>
      <c r="AE446" s="19">
        <v>0</v>
      </c>
      <c r="AF446" s="19">
        <v>0</v>
      </c>
      <c r="AG446" s="19">
        <v>0</v>
      </c>
      <c r="AH446" s="19">
        <v>0</v>
      </c>
      <c r="AI446" s="18">
        <f t="shared" si="667"/>
        <v>0</v>
      </c>
      <c r="AJ446" s="19">
        <v>0</v>
      </c>
      <c r="AK446" s="19">
        <v>0</v>
      </c>
      <c r="AL446" s="19">
        <v>0</v>
      </c>
      <c r="AM446" s="19">
        <v>0</v>
      </c>
    </row>
    <row r="447" spans="1:39" s="2" customFormat="1" ht="31.5" outlineLevel="2" x14ac:dyDescent="0.25">
      <c r="A447" s="8" t="s">
        <v>449</v>
      </c>
      <c r="B447" s="34" t="s">
        <v>391</v>
      </c>
      <c r="C447" s="26" t="s">
        <v>32</v>
      </c>
      <c r="D447" s="25" t="s">
        <v>8</v>
      </c>
      <c r="E447" s="20">
        <f t="shared" si="664"/>
        <v>304.89999999999998</v>
      </c>
      <c r="F447" s="38">
        <f t="shared" ref="F447:G449" si="671">K447+P447+U447+Z447+AE447+AJ447</f>
        <v>0</v>
      </c>
      <c r="G447" s="38">
        <f t="shared" si="671"/>
        <v>0</v>
      </c>
      <c r="H447" s="38">
        <f t="shared" ref="H447:I449" si="672">M447+R447+W447+AB447+AG447+AL447</f>
        <v>304.89999999999998</v>
      </c>
      <c r="I447" s="38">
        <f t="shared" si="672"/>
        <v>0</v>
      </c>
      <c r="J447" s="18">
        <f>SUM(K447:N447)</f>
        <v>147.5</v>
      </c>
      <c r="K447" s="19">
        <v>0</v>
      </c>
      <c r="L447" s="19">
        <v>0</v>
      </c>
      <c r="M447" s="19">
        <v>147.5</v>
      </c>
      <c r="N447" s="19">
        <v>0</v>
      </c>
      <c r="O447" s="18">
        <f>SUM(P447:S447)</f>
        <v>157.4</v>
      </c>
      <c r="P447" s="19">
        <v>0</v>
      </c>
      <c r="Q447" s="19">
        <v>0</v>
      </c>
      <c r="R447" s="19">
        <f>40+25+92.4</f>
        <v>157.4</v>
      </c>
      <c r="S447" s="19">
        <v>0</v>
      </c>
      <c r="T447" s="18">
        <f>SUM(U447:X447)</f>
        <v>0</v>
      </c>
      <c r="U447" s="19">
        <v>0</v>
      </c>
      <c r="V447" s="19">
        <v>0</v>
      </c>
      <c r="W447" s="19">
        <v>0</v>
      </c>
      <c r="X447" s="19">
        <v>0</v>
      </c>
      <c r="Y447" s="18">
        <f>SUM(Z447:AC447)</f>
        <v>0</v>
      </c>
      <c r="Z447" s="19">
        <v>0</v>
      </c>
      <c r="AA447" s="19">
        <v>0</v>
      </c>
      <c r="AB447" s="19">
        <v>0</v>
      </c>
      <c r="AC447" s="19">
        <v>0</v>
      </c>
      <c r="AD447" s="18">
        <f>SUM(AE447:AH447)</f>
        <v>0</v>
      </c>
      <c r="AE447" s="19">
        <v>0</v>
      </c>
      <c r="AF447" s="19">
        <v>0</v>
      </c>
      <c r="AG447" s="19">
        <v>0</v>
      </c>
      <c r="AH447" s="19">
        <v>0</v>
      </c>
      <c r="AI447" s="18">
        <f>SUM(AJ447:AM447)</f>
        <v>0</v>
      </c>
      <c r="AJ447" s="19">
        <v>0</v>
      </c>
      <c r="AK447" s="19">
        <v>0</v>
      </c>
      <c r="AL447" s="19">
        <v>0</v>
      </c>
      <c r="AM447" s="19">
        <v>0</v>
      </c>
    </row>
    <row r="448" spans="1:39" s="2" customFormat="1" ht="110.25" outlineLevel="2" x14ac:dyDescent="0.25">
      <c r="A448" s="8" t="s">
        <v>450</v>
      </c>
      <c r="B448" s="34" t="s">
        <v>566</v>
      </c>
      <c r="C448" s="26" t="s">
        <v>32</v>
      </c>
      <c r="D448" s="25" t="s">
        <v>8</v>
      </c>
      <c r="E448" s="20">
        <f t="shared" si="664"/>
        <v>99</v>
      </c>
      <c r="F448" s="38">
        <f>K448+P448+U448+Z448+AE448+AJ448</f>
        <v>0</v>
      </c>
      <c r="G448" s="38">
        <f>L448+Q448+V448+AA448+AF448+AK448</f>
        <v>0</v>
      </c>
      <c r="H448" s="38">
        <f t="shared" si="672"/>
        <v>99</v>
      </c>
      <c r="I448" s="38">
        <f t="shared" si="672"/>
        <v>0</v>
      </c>
      <c r="J448" s="18">
        <f>SUM(K448:N448)</f>
        <v>0</v>
      </c>
      <c r="K448" s="19">
        <v>0</v>
      </c>
      <c r="L448" s="19">
        <v>0</v>
      </c>
      <c r="M448" s="19">
        <v>0</v>
      </c>
      <c r="N448" s="19">
        <v>0</v>
      </c>
      <c r="O448" s="18">
        <f>SUM(P448:S448)</f>
        <v>99</v>
      </c>
      <c r="P448" s="19">
        <v>0</v>
      </c>
      <c r="Q448" s="19">
        <v>0</v>
      </c>
      <c r="R448" s="19">
        <v>99</v>
      </c>
      <c r="S448" s="19">
        <v>0</v>
      </c>
      <c r="T448" s="18">
        <f>SUM(U448:X448)</f>
        <v>0</v>
      </c>
      <c r="U448" s="19">
        <v>0</v>
      </c>
      <c r="V448" s="19">
        <v>0</v>
      </c>
      <c r="W448" s="19">
        <v>0</v>
      </c>
      <c r="X448" s="19">
        <v>0</v>
      </c>
      <c r="Y448" s="18">
        <f>SUM(Z448:AC448)</f>
        <v>0</v>
      </c>
      <c r="Z448" s="19">
        <v>0</v>
      </c>
      <c r="AA448" s="19">
        <v>0</v>
      </c>
      <c r="AB448" s="19">
        <v>0</v>
      </c>
      <c r="AC448" s="19">
        <v>0</v>
      </c>
      <c r="AD448" s="18">
        <f>SUM(AE448:AH448)</f>
        <v>0</v>
      </c>
      <c r="AE448" s="19">
        <v>0</v>
      </c>
      <c r="AF448" s="19">
        <v>0</v>
      </c>
      <c r="AG448" s="19">
        <v>0</v>
      </c>
      <c r="AH448" s="19">
        <v>0</v>
      </c>
      <c r="AI448" s="18">
        <f>SUM(AJ448:AM448)</f>
        <v>0</v>
      </c>
      <c r="AJ448" s="19">
        <v>0</v>
      </c>
      <c r="AK448" s="19">
        <v>0</v>
      </c>
      <c r="AL448" s="19">
        <v>0</v>
      </c>
      <c r="AM448" s="19">
        <v>0</v>
      </c>
    </row>
    <row r="449" spans="1:39" s="2" customFormat="1" ht="78.75" outlineLevel="2" x14ac:dyDescent="0.25">
      <c r="A449" s="8" t="s">
        <v>477</v>
      </c>
      <c r="B449" s="34" t="s">
        <v>478</v>
      </c>
      <c r="C449" s="26" t="s">
        <v>32</v>
      </c>
      <c r="D449" s="25" t="s">
        <v>118</v>
      </c>
      <c r="E449" s="20">
        <f t="shared" si="664"/>
        <v>30</v>
      </c>
      <c r="F449" s="38">
        <f t="shared" si="671"/>
        <v>0</v>
      </c>
      <c r="G449" s="38">
        <f t="shared" si="671"/>
        <v>0</v>
      </c>
      <c r="H449" s="38">
        <f t="shared" si="672"/>
        <v>30</v>
      </c>
      <c r="I449" s="38">
        <f t="shared" si="672"/>
        <v>0</v>
      </c>
      <c r="J449" s="18">
        <f>SUM(K449:N449)</f>
        <v>0</v>
      </c>
      <c r="K449" s="19">
        <v>0</v>
      </c>
      <c r="L449" s="19">
        <v>0</v>
      </c>
      <c r="M449" s="19">
        <v>0</v>
      </c>
      <c r="N449" s="19">
        <v>0</v>
      </c>
      <c r="O449" s="18">
        <f>SUM(P449:S449)</f>
        <v>30</v>
      </c>
      <c r="P449" s="19">
        <v>0</v>
      </c>
      <c r="Q449" s="19">
        <v>0</v>
      </c>
      <c r="R449" s="19">
        <f>410-380</f>
        <v>30</v>
      </c>
      <c r="S449" s="19">
        <v>0</v>
      </c>
      <c r="T449" s="18">
        <f>SUM(U449:X449)</f>
        <v>0</v>
      </c>
      <c r="U449" s="19">
        <v>0</v>
      </c>
      <c r="V449" s="19">
        <v>0</v>
      </c>
      <c r="W449" s="19">
        <v>0</v>
      </c>
      <c r="X449" s="19">
        <v>0</v>
      </c>
      <c r="Y449" s="18">
        <f>SUM(Z449:AC449)</f>
        <v>0</v>
      </c>
      <c r="Z449" s="19">
        <v>0</v>
      </c>
      <c r="AA449" s="19">
        <v>0</v>
      </c>
      <c r="AB449" s="19">
        <v>0</v>
      </c>
      <c r="AC449" s="19">
        <v>0</v>
      </c>
      <c r="AD449" s="18">
        <f>SUM(AE449:AH449)</f>
        <v>0</v>
      </c>
      <c r="AE449" s="19">
        <v>0</v>
      </c>
      <c r="AF449" s="19">
        <v>0</v>
      </c>
      <c r="AG449" s="19">
        <v>0</v>
      </c>
      <c r="AH449" s="19">
        <v>0</v>
      </c>
      <c r="AI449" s="18">
        <f>SUM(AJ449:AM449)</f>
        <v>0</v>
      </c>
      <c r="AJ449" s="19">
        <v>0</v>
      </c>
      <c r="AK449" s="19">
        <v>0</v>
      </c>
      <c r="AL449" s="19">
        <v>0</v>
      </c>
      <c r="AM449" s="19">
        <v>0</v>
      </c>
    </row>
    <row r="450" spans="1:39" s="2" customFormat="1" ht="63" outlineLevel="2" x14ac:dyDescent="0.25">
      <c r="A450" s="8" t="s">
        <v>491</v>
      </c>
      <c r="B450" s="34" t="s">
        <v>492</v>
      </c>
      <c r="C450" s="26" t="s">
        <v>32</v>
      </c>
      <c r="D450" s="25" t="s">
        <v>118</v>
      </c>
      <c r="E450" s="20">
        <f t="shared" si="664"/>
        <v>57</v>
      </c>
      <c r="F450" s="38">
        <f t="shared" si="668"/>
        <v>0</v>
      </c>
      <c r="G450" s="38">
        <f t="shared" si="668"/>
        <v>0</v>
      </c>
      <c r="H450" s="38">
        <f t="shared" si="669"/>
        <v>57</v>
      </c>
      <c r="I450" s="38">
        <f t="shared" si="659"/>
        <v>0</v>
      </c>
      <c r="J450" s="18">
        <f t="shared" si="665"/>
        <v>0</v>
      </c>
      <c r="K450" s="19">
        <v>0</v>
      </c>
      <c r="L450" s="19">
        <v>0</v>
      </c>
      <c r="M450" s="19">
        <v>0</v>
      </c>
      <c r="N450" s="19">
        <v>0</v>
      </c>
      <c r="O450" s="18">
        <f t="shared" si="656"/>
        <v>57</v>
      </c>
      <c r="P450" s="19">
        <v>0</v>
      </c>
      <c r="Q450" s="19">
        <v>0</v>
      </c>
      <c r="R450" s="19">
        <v>57</v>
      </c>
      <c r="S450" s="19">
        <v>0</v>
      </c>
      <c r="T450" s="18">
        <f t="shared" si="666"/>
        <v>0</v>
      </c>
      <c r="U450" s="19">
        <v>0</v>
      </c>
      <c r="V450" s="19">
        <v>0</v>
      </c>
      <c r="W450" s="19">
        <v>0</v>
      </c>
      <c r="X450" s="19">
        <v>0</v>
      </c>
      <c r="Y450" s="18">
        <f t="shared" si="670"/>
        <v>0</v>
      </c>
      <c r="Z450" s="19">
        <v>0</v>
      </c>
      <c r="AA450" s="19">
        <v>0</v>
      </c>
      <c r="AB450" s="19">
        <v>0</v>
      </c>
      <c r="AC450" s="19">
        <v>0</v>
      </c>
      <c r="AD450" s="18">
        <f t="shared" si="660"/>
        <v>0</v>
      </c>
      <c r="AE450" s="19">
        <v>0</v>
      </c>
      <c r="AF450" s="19">
        <v>0</v>
      </c>
      <c r="AG450" s="19">
        <v>0</v>
      </c>
      <c r="AH450" s="19">
        <v>0</v>
      </c>
      <c r="AI450" s="18">
        <f t="shared" si="667"/>
        <v>0</v>
      </c>
      <c r="AJ450" s="19">
        <v>0</v>
      </c>
      <c r="AK450" s="19">
        <v>0</v>
      </c>
      <c r="AL450" s="19">
        <v>0</v>
      </c>
      <c r="AM450" s="19">
        <v>0</v>
      </c>
    </row>
    <row r="451" spans="1:39" s="2" customFormat="1" ht="63" outlineLevel="2" x14ac:dyDescent="0.25">
      <c r="A451" s="8" t="s">
        <v>707</v>
      </c>
      <c r="B451" s="34" t="s">
        <v>814</v>
      </c>
      <c r="C451" s="26" t="s">
        <v>32</v>
      </c>
      <c r="D451" s="25" t="s">
        <v>118</v>
      </c>
      <c r="E451" s="20">
        <f t="shared" si="664"/>
        <v>90</v>
      </c>
      <c r="F451" s="38">
        <f>K451+P451+U451+Z451+AE451+AJ451</f>
        <v>0</v>
      </c>
      <c r="G451" s="38">
        <f t="shared" ref="G451:G461" si="673">L451+Q451+V451+AA451+AF451+AK451</f>
        <v>0</v>
      </c>
      <c r="H451" s="38">
        <f>M451+R451+W451+AB451+AG451+AL451</f>
        <v>90</v>
      </c>
      <c r="I451" s="38">
        <f t="shared" ref="I451:I461" si="674">N451+S451+X451+AC451+AH451+AM451</f>
        <v>0</v>
      </c>
      <c r="J451" s="18">
        <f t="shared" ref="J451:J458" si="675">SUM(K451:N451)</f>
        <v>0</v>
      </c>
      <c r="K451" s="19">
        <v>0</v>
      </c>
      <c r="L451" s="19">
        <v>0</v>
      </c>
      <c r="M451" s="19">
        <v>0</v>
      </c>
      <c r="N451" s="19">
        <v>0</v>
      </c>
      <c r="O451" s="18">
        <f t="shared" si="656"/>
        <v>90</v>
      </c>
      <c r="P451" s="19">
        <v>0</v>
      </c>
      <c r="Q451" s="19">
        <v>0</v>
      </c>
      <c r="R451" s="19">
        <v>90</v>
      </c>
      <c r="S451" s="19">
        <v>0</v>
      </c>
      <c r="T451" s="18">
        <f>SUM(U451:X451)</f>
        <v>0</v>
      </c>
      <c r="U451" s="19">
        <v>0</v>
      </c>
      <c r="V451" s="19">
        <v>0</v>
      </c>
      <c r="W451" s="19">
        <v>0</v>
      </c>
      <c r="X451" s="19">
        <v>0</v>
      </c>
      <c r="Y451" s="18">
        <f>SUM(Z451:AC451)</f>
        <v>0</v>
      </c>
      <c r="Z451" s="19">
        <v>0</v>
      </c>
      <c r="AA451" s="19">
        <v>0</v>
      </c>
      <c r="AB451" s="19">
        <v>0</v>
      </c>
      <c r="AC451" s="19">
        <v>0</v>
      </c>
      <c r="AD451" s="18">
        <f>SUM(AE451:AH451)</f>
        <v>0</v>
      </c>
      <c r="AE451" s="19">
        <v>0</v>
      </c>
      <c r="AF451" s="19">
        <v>0</v>
      </c>
      <c r="AG451" s="19">
        <v>0</v>
      </c>
      <c r="AH451" s="19">
        <v>0</v>
      </c>
      <c r="AI451" s="18">
        <f>SUM(AJ451:AM451)</f>
        <v>0</v>
      </c>
      <c r="AJ451" s="19">
        <v>0</v>
      </c>
      <c r="AK451" s="19">
        <v>0</v>
      </c>
      <c r="AL451" s="19">
        <v>0</v>
      </c>
      <c r="AM451" s="19">
        <v>0</v>
      </c>
    </row>
    <row r="452" spans="1:39" s="2" customFormat="1" ht="63" outlineLevel="2" x14ac:dyDescent="0.25">
      <c r="A452" s="8" t="s">
        <v>739</v>
      </c>
      <c r="B452" s="34" t="s">
        <v>740</v>
      </c>
      <c r="C452" s="26" t="s">
        <v>32</v>
      </c>
      <c r="D452" s="25" t="s">
        <v>118</v>
      </c>
      <c r="E452" s="20">
        <f t="shared" si="664"/>
        <v>166.7</v>
      </c>
      <c r="F452" s="38"/>
      <c r="G452" s="38">
        <f t="shared" si="673"/>
        <v>0</v>
      </c>
      <c r="H452" s="38">
        <f>M452+R452+W452+AB452+AG452+AL452</f>
        <v>166.7</v>
      </c>
      <c r="I452" s="38">
        <f t="shared" si="674"/>
        <v>0</v>
      </c>
      <c r="J452" s="18">
        <f t="shared" si="675"/>
        <v>0</v>
      </c>
      <c r="K452" s="19">
        <v>0</v>
      </c>
      <c r="L452" s="19">
        <v>0</v>
      </c>
      <c r="M452" s="19">
        <v>0</v>
      </c>
      <c r="N452" s="19">
        <v>0</v>
      </c>
      <c r="O452" s="18">
        <f t="shared" si="656"/>
        <v>166.7</v>
      </c>
      <c r="P452" s="19">
        <v>0</v>
      </c>
      <c r="Q452" s="19">
        <v>0</v>
      </c>
      <c r="R452" s="19">
        <v>166.7</v>
      </c>
      <c r="S452" s="19">
        <v>0</v>
      </c>
      <c r="T452" s="18">
        <f>SUM(U452:X452)</f>
        <v>0</v>
      </c>
      <c r="U452" s="19">
        <v>0</v>
      </c>
      <c r="V452" s="19">
        <v>0</v>
      </c>
      <c r="W452" s="19">
        <v>0</v>
      </c>
      <c r="X452" s="19">
        <v>0</v>
      </c>
      <c r="Y452" s="18">
        <f>SUM(Z452:AC452)</f>
        <v>0</v>
      </c>
      <c r="Z452" s="19">
        <v>0</v>
      </c>
      <c r="AA452" s="19">
        <v>0</v>
      </c>
      <c r="AB452" s="19">
        <v>0</v>
      </c>
      <c r="AC452" s="19">
        <v>0</v>
      </c>
      <c r="AD452" s="18">
        <f>SUM(AE452:AH452)</f>
        <v>0</v>
      </c>
      <c r="AE452" s="19">
        <v>0</v>
      </c>
      <c r="AF452" s="19">
        <v>0</v>
      </c>
      <c r="AG452" s="19">
        <v>0</v>
      </c>
      <c r="AH452" s="19">
        <v>0</v>
      </c>
      <c r="AI452" s="18">
        <f>SUM(AJ452:AM452)</f>
        <v>0</v>
      </c>
      <c r="AJ452" s="19">
        <v>0</v>
      </c>
      <c r="AK452" s="19">
        <v>0</v>
      </c>
      <c r="AL452" s="19">
        <v>0</v>
      </c>
      <c r="AM452" s="19">
        <v>0</v>
      </c>
    </row>
    <row r="453" spans="1:39" s="2" customFormat="1" ht="47.25" outlineLevel="2" x14ac:dyDescent="0.25">
      <c r="A453" s="8" t="s">
        <v>741</v>
      </c>
      <c r="B453" s="34" t="s">
        <v>798</v>
      </c>
      <c r="C453" s="26" t="s">
        <v>32</v>
      </c>
      <c r="D453" s="25" t="s">
        <v>118</v>
      </c>
      <c r="E453" s="20">
        <f t="shared" si="664"/>
        <v>16.2</v>
      </c>
      <c r="F453" s="38"/>
      <c r="G453" s="38">
        <f t="shared" si="673"/>
        <v>0</v>
      </c>
      <c r="H453" s="38">
        <f>M453+R453+W453+AB453+AG453+AL453</f>
        <v>16.2</v>
      </c>
      <c r="I453" s="38">
        <f t="shared" si="674"/>
        <v>0</v>
      </c>
      <c r="J453" s="18">
        <f t="shared" si="675"/>
        <v>0</v>
      </c>
      <c r="K453" s="19">
        <v>0</v>
      </c>
      <c r="L453" s="19">
        <v>0</v>
      </c>
      <c r="M453" s="19">
        <v>0</v>
      </c>
      <c r="N453" s="19">
        <v>0</v>
      </c>
      <c r="O453" s="18">
        <f>SUM(P453:S453)</f>
        <v>16.2</v>
      </c>
      <c r="P453" s="19">
        <v>0</v>
      </c>
      <c r="Q453" s="19">
        <v>0</v>
      </c>
      <c r="R453" s="19">
        <v>16.2</v>
      </c>
      <c r="S453" s="19">
        <v>0</v>
      </c>
      <c r="T453" s="18">
        <f>SUM(U453:X453)</f>
        <v>0</v>
      </c>
      <c r="U453" s="19">
        <v>0</v>
      </c>
      <c r="V453" s="19">
        <v>0</v>
      </c>
      <c r="W453" s="19">
        <v>0</v>
      </c>
      <c r="X453" s="19">
        <v>0</v>
      </c>
      <c r="Y453" s="18">
        <f>SUM(Z453:AC453)</f>
        <v>0</v>
      </c>
      <c r="Z453" s="19">
        <v>0</v>
      </c>
      <c r="AA453" s="19">
        <v>0</v>
      </c>
      <c r="AB453" s="19">
        <v>0</v>
      </c>
      <c r="AC453" s="19">
        <v>0</v>
      </c>
      <c r="AD453" s="18">
        <f>SUM(AE453:AH453)</f>
        <v>0</v>
      </c>
      <c r="AE453" s="19">
        <v>0</v>
      </c>
      <c r="AF453" s="19">
        <v>0</v>
      </c>
      <c r="AG453" s="19">
        <v>0</v>
      </c>
      <c r="AH453" s="19">
        <v>0</v>
      </c>
      <c r="AI453" s="18">
        <f>SUM(AJ453:AM453)</f>
        <v>0</v>
      </c>
      <c r="AJ453" s="19">
        <v>0</v>
      </c>
      <c r="AK453" s="19">
        <v>0</v>
      </c>
      <c r="AL453" s="19">
        <v>0</v>
      </c>
      <c r="AM453" s="19">
        <v>0</v>
      </c>
    </row>
    <row r="454" spans="1:39" s="2" customFormat="1" ht="63" outlineLevel="2" x14ac:dyDescent="0.25">
      <c r="A454" s="8" t="s">
        <v>799</v>
      </c>
      <c r="B454" s="34" t="s">
        <v>801</v>
      </c>
      <c r="C454" s="26" t="s">
        <v>32</v>
      </c>
      <c r="D454" s="25" t="s">
        <v>118</v>
      </c>
      <c r="E454" s="20">
        <f t="shared" si="664"/>
        <v>377</v>
      </c>
      <c r="F454" s="38"/>
      <c r="G454" s="38">
        <f t="shared" si="673"/>
        <v>0</v>
      </c>
      <c r="H454" s="38">
        <f>M454+R454+W454+AB454+AG454+AL454</f>
        <v>377</v>
      </c>
      <c r="I454" s="38">
        <f t="shared" si="674"/>
        <v>0</v>
      </c>
      <c r="J454" s="18">
        <f t="shared" si="675"/>
        <v>0</v>
      </c>
      <c r="K454" s="19">
        <v>0</v>
      </c>
      <c r="L454" s="19">
        <v>0</v>
      </c>
      <c r="M454" s="19">
        <v>0</v>
      </c>
      <c r="N454" s="19">
        <v>0</v>
      </c>
      <c r="O454" s="18">
        <f>SUM(P454:S454)</f>
        <v>0</v>
      </c>
      <c r="P454" s="19">
        <v>0</v>
      </c>
      <c r="Q454" s="19">
        <v>0</v>
      </c>
      <c r="R454" s="19">
        <v>0</v>
      </c>
      <c r="S454" s="19">
        <v>0</v>
      </c>
      <c r="T454" s="18">
        <f>SUM(U454:X454)</f>
        <v>377</v>
      </c>
      <c r="U454" s="19">
        <v>0</v>
      </c>
      <c r="V454" s="19">
        <v>0</v>
      </c>
      <c r="W454" s="19">
        <v>377</v>
      </c>
      <c r="X454" s="19">
        <v>0</v>
      </c>
      <c r="Y454" s="18">
        <f>SUM(Z454:AC454)</f>
        <v>0</v>
      </c>
      <c r="Z454" s="19">
        <v>0</v>
      </c>
      <c r="AA454" s="19">
        <v>0</v>
      </c>
      <c r="AB454" s="19">
        <v>0</v>
      </c>
      <c r="AC454" s="19">
        <v>0</v>
      </c>
      <c r="AD454" s="18">
        <f>SUM(AE454:AH454)</f>
        <v>0</v>
      </c>
      <c r="AE454" s="19">
        <v>0</v>
      </c>
      <c r="AF454" s="19">
        <v>0</v>
      </c>
      <c r="AG454" s="19">
        <v>0</v>
      </c>
      <c r="AH454" s="19">
        <v>0</v>
      </c>
      <c r="AI454" s="18">
        <f>SUM(AJ454:AM454)</f>
        <v>0</v>
      </c>
      <c r="AJ454" s="19">
        <v>0</v>
      </c>
      <c r="AK454" s="19">
        <v>0</v>
      </c>
      <c r="AL454" s="19">
        <v>0</v>
      </c>
      <c r="AM454" s="19">
        <v>0</v>
      </c>
    </row>
    <row r="455" spans="1:39" s="2" customFormat="1" ht="63" outlineLevel="2" x14ac:dyDescent="0.25">
      <c r="A455" s="8" t="s">
        <v>800</v>
      </c>
      <c r="B455" s="115" t="s">
        <v>1167</v>
      </c>
      <c r="C455" s="26" t="s">
        <v>32</v>
      </c>
      <c r="D455" s="25" t="s">
        <v>118</v>
      </c>
      <c r="E455" s="20">
        <f t="shared" ref="E455:E461" si="676">SUM(F455:I455)</f>
        <v>52</v>
      </c>
      <c r="F455" s="38"/>
      <c r="G455" s="38">
        <f t="shared" si="673"/>
        <v>0</v>
      </c>
      <c r="H455" s="38">
        <f t="shared" ref="H455:H461" si="677">M455+R455+W455+AB455+AG455+AL455</f>
        <v>52</v>
      </c>
      <c r="I455" s="38">
        <f t="shared" si="674"/>
        <v>0</v>
      </c>
      <c r="J455" s="18">
        <f t="shared" si="675"/>
        <v>0</v>
      </c>
      <c r="K455" s="19">
        <v>0</v>
      </c>
      <c r="L455" s="19">
        <v>0</v>
      </c>
      <c r="M455" s="19">
        <v>0</v>
      </c>
      <c r="N455" s="19">
        <v>0</v>
      </c>
      <c r="O455" s="18">
        <f t="shared" ref="O455:O461" si="678">SUM(P455:S455)</f>
        <v>0</v>
      </c>
      <c r="P455" s="19">
        <v>0</v>
      </c>
      <c r="Q455" s="19">
        <v>0</v>
      </c>
      <c r="R455" s="19">
        <v>0</v>
      </c>
      <c r="S455" s="19">
        <v>0</v>
      </c>
      <c r="T455" s="18">
        <f t="shared" ref="T455:T461" si="679">SUM(U455:X455)</f>
        <v>0</v>
      </c>
      <c r="U455" s="19">
        <v>0</v>
      </c>
      <c r="V455" s="19">
        <v>0</v>
      </c>
      <c r="W455" s="19">
        <v>0</v>
      </c>
      <c r="X455" s="19">
        <v>0</v>
      </c>
      <c r="Y455" s="18">
        <f t="shared" ref="Y455:Y461" si="680">SUM(Z455:AC455)</f>
        <v>52</v>
      </c>
      <c r="Z455" s="19">
        <v>0</v>
      </c>
      <c r="AA455" s="19">
        <v>0</v>
      </c>
      <c r="AB455" s="116">
        <f>180-128</f>
        <v>52</v>
      </c>
      <c r="AC455" s="19">
        <v>0</v>
      </c>
      <c r="AD455" s="18">
        <f t="shared" ref="AD455:AD461" si="681">SUM(AE455:AH455)</f>
        <v>0</v>
      </c>
      <c r="AE455" s="19">
        <v>0</v>
      </c>
      <c r="AF455" s="19">
        <v>0</v>
      </c>
      <c r="AG455" s="19">
        <v>0</v>
      </c>
      <c r="AH455" s="19">
        <v>0</v>
      </c>
      <c r="AI455" s="18">
        <f t="shared" ref="AI455:AI461" si="682">SUM(AJ455:AM455)</f>
        <v>0</v>
      </c>
      <c r="AJ455" s="19">
        <v>0</v>
      </c>
      <c r="AK455" s="19">
        <v>0</v>
      </c>
      <c r="AL455" s="19">
        <v>0</v>
      </c>
      <c r="AM455" s="19">
        <v>0</v>
      </c>
    </row>
    <row r="456" spans="1:39" s="2" customFormat="1" ht="78.75" outlineLevel="2" x14ac:dyDescent="0.25">
      <c r="A456" s="8" t="s">
        <v>802</v>
      </c>
      <c r="B456" s="115" t="s">
        <v>1042</v>
      </c>
      <c r="C456" s="26" t="s">
        <v>32</v>
      </c>
      <c r="D456" s="25" t="s">
        <v>118</v>
      </c>
      <c r="E456" s="20">
        <f t="shared" si="676"/>
        <v>30</v>
      </c>
      <c r="F456" s="38"/>
      <c r="G456" s="38">
        <f t="shared" si="673"/>
        <v>0</v>
      </c>
      <c r="H456" s="38">
        <f t="shared" si="677"/>
        <v>30</v>
      </c>
      <c r="I456" s="38">
        <f t="shared" si="674"/>
        <v>0</v>
      </c>
      <c r="J456" s="18">
        <f t="shared" si="675"/>
        <v>0</v>
      </c>
      <c r="K456" s="19">
        <v>0</v>
      </c>
      <c r="L456" s="19">
        <v>0</v>
      </c>
      <c r="M456" s="19">
        <v>0</v>
      </c>
      <c r="N456" s="19">
        <v>0</v>
      </c>
      <c r="O456" s="18">
        <f t="shared" si="678"/>
        <v>0</v>
      </c>
      <c r="P456" s="19">
        <v>0</v>
      </c>
      <c r="Q456" s="19">
        <v>0</v>
      </c>
      <c r="R456" s="19">
        <v>0</v>
      </c>
      <c r="S456" s="19">
        <v>0</v>
      </c>
      <c r="T456" s="18">
        <f t="shared" si="679"/>
        <v>0</v>
      </c>
      <c r="U456" s="19">
        <v>0</v>
      </c>
      <c r="V456" s="19">
        <v>0</v>
      </c>
      <c r="W456" s="19">
        <v>0</v>
      </c>
      <c r="X456" s="19">
        <v>0</v>
      </c>
      <c r="Y456" s="18">
        <f t="shared" si="680"/>
        <v>30</v>
      </c>
      <c r="Z456" s="19">
        <v>0</v>
      </c>
      <c r="AA456" s="19">
        <v>0</v>
      </c>
      <c r="AB456" s="116">
        <v>30</v>
      </c>
      <c r="AC456" s="19">
        <v>0</v>
      </c>
      <c r="AD456" s="18">
        <f t="shared" si="681"/>
        <v>0</v>
      </c>
      <c r="AE456" s="19">
        <v>0</v>
      </c>
      <c r="AF456" s="19">
        <v>0</v>
      </c>
      <c r="AG456" s="19">
        <v>0</v>
      </c>
      <c r="AH456" s="19">
        <v>0</v>
      </c>
      <c r="AI456" s="18">
        <f t="shared" si="682"/>
        <v>0</v>
      </c>
      <c r="AJ456" s="19">
        <v>0</v>
      </c>
      <c r="AK456" s="19">
        <v>0</v>
      </c>
      <c r="AL456" s="19">
        <v>0</v>
      </c>
      <c r="AM456" s="19">
        <v>0</v>
      </c>
    </row>
    <row r="457" spans="1:39" s="2" customFormat="1" ht="63" outlineLevel="2" x14ac:dyDescent="0.25">
      <c r="A457" s="8" t="s">
        <v>803</v>
      </c>
      <c r="B457" s="115" t="s">
        <v>808</v>
      </c>
      <c r="C457" s="26" t="s">
        <v>32</v>
      </c>
      <c r="D457" s="25" t="s">
        <v>118</v>
      </c>
      <c r="E457" s="20">
        <f t="shared" si="676"/>
        <v>90</v>
      </c>
      <c r="F457" s="38"/>
      <c r="G457" s="38">
        <f t="shared" si="673"/>
        <v>0</v>
      </c>
      <c r="H457" s="38">
        <f t="shared" si="677"/>
        <v>90</v>
      </c>
      <c r="I457" s="38">
        <f t="shared" si="674"/>
        <v>0</v>
      </c>
      <c r="J457" s="18">
        <f t="shared" si="675"/>
        <v>0</v>
      </c>
      <c r="K457" s="19">
        <v>0</v>
      </c>
      <c r="L457" s="19">
        <v>0</v>
      </c>
      <c r="M457" s="19">
        <v>0</v>
      </c>
      <c r="N457" s="19">
        <v>0</v>
      </c>
      <c r="O457" s="18">
        <f t="shared" si="678"/>
        <v>0</v>
      </c>
      <c r="P457" s="19">
        <v>0</v>
      </c>
      <c r="Q457" s="19">
        <v>0</v>
      </c>
      <c r="R457" s="19">
        <v>0</v>
      </c>
      <c r="S457" s="19">
        <v>0</v>
      </c>
      <c r="T457" s="18">
        <f t="shared" si="679"/>
        <v>0</v>
      </c>
      <c r="U457" s="19">
        <v>0</v>
      </c>
      <c r="V457" s="19">
        <v>0</v>
      </c>
      <c r="W457" s="19">
        <v>0</v>
      </c>
      <c r="X457" s="19">
        <v>0</v>
      </c>
      <c r="Y457" s="18">
        <f t="shared" si="680"/>
        <v>90</v>
      </c>
      <c r="Z457" s="19">
        <v>0</v>
      </c>
      <c r="AA457" s="19">
        <v>0</v>
      </c>
      <c r="AB457" s="116">
        <v>90</v>
      </c>
      <c r="AC457" s="19">
        <v>0</v>
      </c>
      <c r="AD457" s="18">
        <f t="shared" si="681"/>
        <v>0</v>
      </c>
      <c r="AE457" s="19">
        <v>0</v>
      </c>
      <c r="AF457" s="19">
        <v>0</v>
      </c>
      <c r="AG457" s="19">
        <v>0</v>
      </c>
      <c r="AH457" s="19">
        <v>0</v>
      </c>
      <c r="AI457" s="18">
        <f t="shared" si="682"/>
        <v>0</v>
      </c>
      <c r="AJ457" s="19">
        <v>0</v>
      </c>
      <c r="AK457" s="19">
        <v>0</v>
      </c>
      <c r="AL457" s="19">
        <v>0</v>
      </c>
      <c r="AM457" s="19">
        <v>0</v>
      </c>
    </row>
    <row r="458" spans="1:39" s="2" customFormat="1" ht="78.75" outlineLevel="2" x14ac:dyDescent="0.25">
      <c r="A458" s="8" t="s">
        <v>804</v>
      </c>
      <c r="B458" s="115" t="s">
        <v>809</v>
      </c>
      <c r="C458" s="26" t="s">
        <v>32</v>
      </c>
      <c r="D458" s="25" t="s">
        <v>118</v>
      </c>
      <c r="E458" s="20">
        <f t="shared" si="676"/>
        <v>150</v>
      </c>
      <c r="F458" s="38"/>
      <c r="G458" s="38">
        <f t="shared" si="673"/>
        <v>0</v>
      </c>
      <c r="H458" s="38">
        <f t="shared" si="677"/>
        <v>150</v>
      </c>
      <c r="I458" s="38">
        <f t="shared" si="674"/>
        <v>0</v>
      </c>
      <c r="J458" s="18">
        <f t="shared" si="675"/>
        <v>0</v>
      </c>
      <c r="K458" s="19">
        <v>0</v>
      </c>
      <c r="L458" s="19">
        <v>0</v>
      </c>
      <c r="M458" s="19">
        <v>0</v>
      </c>
      <c r="N458" s="19">
        <v>0</v>
      </c>
      <c r="O458" s="18">
        <f t="shared" si="678"/>
        <v>0</v>
      </c>
      <c r="P458" s="19">
        <v>0</v>
      </c>
      <c r="Q458" s="19">
        <v>0</v>
      </c>
      <c r="R458" s="19">
        <v>0</v>
      </c>
      <c r="S458" s="19">
        <v>0</v>
      </c>
      <c r="T458" s="18">
        <f t="shared" si="679"/>
        <v>0</v>
      </c>
      <c r="U458" s="19">
        <v>0</v>
      </c>
      <c r="V458" s="19">
        <v>0</v>
      </c>
      <c r="W458" s="19">
        <v>0</v>
      </c>
      <c r="X458" s="19">
        <v>0</v>
      </c>
      <c r="Y458" s="18">
        <f t="shared" si="680"/>
        <v>150</v>
      </c>
      <c r="Z458" s="19">
        <v>0</v>
      </c>
      <c r="AA458" s="19">
        <v>0</v>
      </c>
      <c r="AB458" s="116">
        <v>150</v>
      </c>
      <c r="AC458" s="19">
        <v>0</v>
      </c>
      <c r="AD458" s="18">
        <f t="shared" si="681"/>
        <v>0</v>
      </c>
      <c r="AE458" s="19">
        <v>0</v>
      </c>
      <c r="AF458" s="19">
        <v>0</v>
      </c>
      <c r="AG458" s="19">
        <v>0</v>
      </c>
      <c r="AH458" s="19">
        <v>0</v>
      </c>
      <c r="AI458" s="18">
        <f t="shared" si="682"/>
        <v>0</v>
      </c>
      <c r="AJ458" s="19">
        <v>0</v>
      </c>
      <c r="AK458" s="19">
        <v>0</v>
      </c>
      <c r="AL458" s="19">
        <v>0</v>
      </c>
      <c r="AM458" s="19">
        <v>0</v>
      </c>
    </row>
    <row r="459" spans="1:39" s="2" customFormat="1" ht="63" outlineLevel="2" x14ac:dyDescent="0.25">
      <c r="A459" s="8" t="s">
        <v>805</v>
      </c>
      <c r="B459" s="115" t="s">
        <v>1041</v>
      </c>
      <c r="C459" s="26" t="s">
        <v>32</v>
      </c>
      <c r="D459" s="25" t="s">
        <v>118</v>
      </c>
      <c r="E459" s="20">
        <f t="shared" si="676"/>
        <v>30</v>
      </c>
      <c r="F459" s="38"/>
      <c r="G459" s="38">
        <f t="shared" si="673"/>
        <v>0</v>
      </c>
      <c r="H459" s="38">
        <f t="shared" si="677"/>
        <v>30</v>
      </c>
      <c r="I459" s="38">
        <f t="shared" si="674"/>
        <v>0</v>
      </c>
      <c r="J459" s="18">
        <f>SUM(K459:N459)</f>
        <v>0</v>
      </c>
      <c r="K459" s="19">
        <v>0</v>
      </c>
      <c r="L459" s="19">
        <v>0</v>
      </c>
      <c r="M459" s="19">
        <v>0</v>
      </c>
      <c r="N459" s="19">
        <v>0</v>
      </c>
      <c r="O459" s="18">
        <f t="shared" si="678"/>
        <v>0</v>
      </c>
      <c r="P459" s="19">
        <v>0</v>
      </c>
      <c r="Q459" s="19">
        <v>0</v>
      </c>
      <c r="R459" s="19">
        <v>0</v>
      </c>
      <c r="S459" s="19">
        <v>0</v>
      </c>
      <c r="T459" s="18">
        <f t="shared" si="679"/>
        <v>0</v>
      </c>
      <c r="U459" s="19">
        <v>0</v>
      </c>
      <c r="V459" s="19">
        <v>0</v>
      </c>
      <c r="W459" s="19">
        <v>0</v>
      </c>
      <c r="X459" s="19">
        <v>0</v>
      </c>
      <c r="Y459" s="18">
        <f t="shared" si="680"/>
        <v>30</v>
      </c>
      <c r="Z459" s="19">
        <v>0</v>
      </c>
      <c r="AA459" s="19">
        <v>0</v>
      </c>
      <c r="AB459" s="116">
        <v>30</v>
      </c>
      <c r="AC459" s="19">
        <v>0</v>
      </c>
      <c r="AD459" s="18">
        <f t="shared" si="681"/>
        <v>0</v>
      </c>
      <c r="AE459" s="19">
        <v>0</v>
      </c>
      <c r="AF459" s="19">
        <v>0</v>
      </c>
      <c r="AG459" s="19">
        <v>0</v>
      </c>
      <c r="AH459" s="19">
        <v>0</v>
      </c>
      <c r="AI459" s="18">
        <f t="shared" si="682"/>
        <v>0</v>
      </c>
      <c r="AJ459" s="19">
        <v>0</v>
      </c>
      <c r="AK459" s="19">
        <v>0</v>
      </c>
      <c r="AL459" s="19">
        <v>0</v>
      </c>
      <c r="AM459" s="19">
        <v>0</v>
      </c>
    </row>
    <row r="460" spans="1:39" s="2" customFormat="1" ht="63" outlineLevel="2" x14ac:dyDescent="0.25">
      <c r="A460" s="8" t="s">
        <v>806</v>
      </c>
      <c r="B460" s="115" t="s">
        <v>810</v>
      </c>
      <c r="C460" s="26" t="s">
        <v>32</v>
      </c>
      <c r="D460" s="25" t="s">
        <v>118</v>
      </c>
      <c r="E460" s="20">
        <f t="shared" si="676"/>
        <v>60</v>
      </c>
      <c r="F460" s="38"/>
      <c r="G460" s="38">
        <f t="shared" si="673"/>
        <v>0</v>
      </c>
      <c r="H460" s="38">
        <f t="shared" si="677"/>
        <v>60</v>
      </c>
      <c r="I460" s="38">
        <f t="shared" si="674"/>
        <v>0</v>
      </c>
      <c r="J460" s="18">
        <f>SUM(K460:N460)</f>
        <v>0</v>
      </c>
      <c r="K460" s="19">
        <v>0</v>
      </c>
      <c r="L460" s="19">
        <v>0</v>
      </c>
      <c r="M460" s="19">
        <v>0</v>
      </c>
      <c r="N460" s="19">
        <v>0</v>
      </c>
      <c r="O460" s="18">
        <f t="shared" si="678"/>
        <v>0</v>
      </c>
      <c r="P460" s="19">
        <v>0</v>
      </c>
      <c r="Q460" s="19">
        <v>0</v>
      </c>
      <c r="R460" s="19">
        <v>0</v>
      </c>
      <c r="S460" s="19">
        <v>0</v>
      </c>
      <c r="T460" s="18">
        <f t="shared" si="679"/>
        <v>0</v>
      </c>
      <c r="U460" s="19">
        <v>0</v>
      </c>
      <c r="V460" s="19">
        <v>0</v>
      </c>
      <c r="W460" s="19">
        <v>0</v>
      </c>
      <c r="X460" s="19">
        <v>0</v>
      </c>
      <c r="Y460" s="18">
        <f t="shared" si="680"/>
        <v>60</v>
      </c>
      <c r="Z460" s="19">
        <v>0</v>
      </c>
      <c r="AA460" s="19">
        <v>0</v>
      </c>
      <c r="AB460" s="116">
        <v>60</v>
      </c>
      <c r="AC460" s="19">
        <v>0</v>
      </c>
      <c r="AD460" s="18">
        <f t="shared" si="681"/>
        <v>0</v>
      </c>
      <c r="AE460" s="19">
        <v>0</v>
      </c>
      <c r="AF460" s="19">
        <v>0</v>
      </c>
      <c r="AG460" s="19">
        <v>0</v>
      </c>
      <c r="AH460" s="19">
        <v>0</v>
      </c>
      <c r="AI460" s="18">
        <f t="shared" si="682"/>
        <v>0</v>
      </c>
      <c r="AJ460" s="19">
        <v>0</v>
      </c>
      <c r="AK460" s="19">
        <v>0</v>
      </c>
      <c r="AL460" s="19">
        <v>0</v>
      </c>
      <c r="AM460" s="19">
        <v>0</v>
      </c>
    </row>
    <row r="461" spans="1:39" s="2" customFormat="1" ht="63" outlineLevel="2" x14ac:dyDescent="0.25">
      <c r="A461" s="8" t="s">
        <v>807</v>
      </c>
      <c r="B461" s="115" t="s">
        <v>811</v>
      </c>
      <c r="C461" s="26" t="s">
        <v>32</v>
      </c>
      <c r="D461" s="25" t="s">
        <v>118</v>
      </c>
      <c r="E461" s="20">
        <f t="shared" si="676"/>
        <v>30</v>
      </c>
      <c r="F461" s="38"/>
      <c r="G461" s="38">
        <f t="shared" si="673"/>
        <v>0</v>
      </c>
      <c r="H461" s="38">
        <f t="shared" si="677"/>
        <v>30</v>
      </c>
      <c r="I461" s="38">
        <f t="shared" si="674"/>
        <v>0</v>
      </c>
      <c r="J461" s="18">
        <f>SUM(K461:N461)</f>
        <v>0</v>
      </c>
      <c r="K461" s="19">
        <v>0</v>
      </c>
      <c r="L461" s="19">
        <v>0</v>
      </c>
      <c r="M461" s="19">
        <v>0</v>
      </c>
      <c r="N461" s="19">
        <v>0</v>
      </c>
      <c r="O461" s="18">
        <f t="shared" si="678"/>
        <v>0</v>
      </c>
      <c r="P461" s="19">
        <v>0</v>
      </c>
      <c r="Q461" s="19">
        <v>0</v>
      </c>
      <c r="R461" s="19">
        <v>0</v>
      </c>
      <c r="S461" s="19">
        <v>0</v>
      </c>
      <c r="T461" s="18">
        <f t="shared" si="679"/>
        <v>0</v>
      </c>
      <c r="U461" s="19">
        <v>0</v>
      </c>
      <c r="V461" s="19">
        <v>0</v>
      </c>
      <c r="W461" s="19">
        <v>0</v>
      </c>
      <c r="X461" s="19">
        <v>0</v>
      </c>
      <c r="Y461" s="18">
        <f t="shared" si="680"/>
        <v>30</v>
      </c>
      <c r="Z461" s="19">
        <v>0</v>
      </c>
      <c r="AA461" s="19">
        <v>0</v>
      </c>
      <c r="AB461" s="116">
        <v>30</v>
      </c>
      <c r="AC461" s="19">
        <v>0</v>
      </c>
      <c r="AD461" s="18">
        <f t="shared" si="681"/>
        <v>0</v>
      </c>
      <c r="AE461" s="19">
        <v>0</v>
      </c>
      <c r="AF461" s="19">
        <v>0</v>
      </c>
      <c r="AG461" s="19">
        <v>0</v>
      </c>
      <c r="AH461" s="19">
        <v>0</v>
      </c>
      <c r="AI461" s="18">
        <f t="shared" si="682"/>
        <v>0</v>
      </c>
      <c r="AJ461" s="19">
        <v>0</v>
      </c>
      <c r="AK461" s="19">
        <v>0</v>
      </c>
      <c r="AL461" s="19">
        <v>0</v>
      </c>
      <c r="AM461" s="19">
        <v>0</v>
      </c>
    </row>
    <row r="462" spans="1:39" s="2" customFormat="1" ht="42" customHeight="1" outlineLevel="1" x14ac:dyDescent="0.25">
      <c r="A462" s="165" t="s">
        <v>309</v>
      </c>
      <c r="B462" s="204" t="s">
        <v>366</v>
      </c>
      <c r="C462" s="201"/>
      <c r="D462" s="202"/>
      <c r="E462" s="20">
        <f>SUM(E463)</f>
        <v>51</v>
      </c>
      <c r="F462" s="20">
        <f t="shared" ref="F462:AM462" si="683">SUM(F463)</f>
        <v>0</v>
      </c>
      <c r="G462" s="20">
        <f t="shared" si="683"/>
        <v>0</v>
      </c>
      <c r="H462" s="20">
        <f t="shared" si="683"/>
        <v>51</v>
      </c>
      <c r="I462" s="20">
        <f t="shared" si="683"/>
        <v>0</v>
      </c>
      <c r="J462" s="20">
        <f t="shared" si="683"/>
        <v>51</v>
      </c>
      <c r="K462" s="20">
        <f t="shared" si="683"/>
        <v>0</v>
      </c>
      <c r="L462" s="20">
        <f t="shared" si="683"/>
        <v>0</v>
      </c>
      <c r="M462" s="20">
        <f t="shared" si="683"/>
        <v>51</v>
      </c>
      <c r="N462" s="20">
        <f t="shared" si="683"/>
        <v>0</v>
      </c>
      <c r="O462" s="20">
        <f t="shared" si="683"/>
        <v>0</v>
      </c>
      <c r="P462" s="20">
        <f t="shared" si="683"/>
        <v>0</v>
      </c>
      <c r="Q462" s="20">
        <f t="shared" si="683"/>
        <v>0</v>
      </c>
      <c r="R462" s="20">
        <f t="shared" si="683"/>
        <v>0</v>
      </c>
      <c r="S462" s="20">
        <f t="shared" si="683"/>
        <v>0</v>
      </c>
      <c r="T462" s="20">
        <f t="shared" si="683"/>
        <v>0</v>
      </c>
      <c r="U462" s="20">
        <f t="shared" si="683"/>
        <v>0</v>
      </c>
      <c r="V462" s="20">
        <f t="shared" si="683"/>
        <v>0</v>
      </c>
      <c r="W462" s="20">
        <f t="shared" si="683"/>
        <v>0</v>
      </c>
      <c r="X462" s="20">
        <f t="shared" si="683"/>
        <v>0</v>
      </c>
      <c r="Y462" s="20">
        <f t="shared" si="683"/>
        <v>0</v>
      </c>
      <c r="Z462" s="20">
        <f t="shared" si="683"/>
        <v>0</v>
      </c>
      <c r="AA462" s="20">
        <f t="shared" si="683"/>
        <v>0</v>
      </c>
      <c r="AB462" s="20">
        <f t="shared" si="683"/>
        <v>0</v>
      </c>
      <c r="AC462" s="20">
        <f t="shared" si="683"/>
        <v>0</v>
      </c>
      <c r="AD462" s="20">
        <f t="shared" si="683"/>
        <v>0</v>
      </c>
      <c r="AE462" s="20">
        <f t="shared" si="683"/>
        <v>0</v>
      </c>
      <c r="AF462" s="20">
        <f t="shared" si="683"/>
        <v>0</v>
      </c>
      <c r="AG462" s="20">
        <f t="shared" si="683"/>
        <v>0</v>
      </c>
      <c r="AH462" s="20">
        <f t="shared" si="683"/>
        <v>0</v>
      </c>
      <c r="AI462" s="20">
        <f t="shared" si="683"/>
        <v>0</v>
      </c>
      <c r="AJ462" s="20">
        <f t="shared" si="683"/>
        <v>0</v>
      </c>
      <c r="AK462" s="20">
        <f t="shared" si="683"/>
        <v>0</v>
      </c>
      <c r="AL462" s="20">
        <f t="shared" si="683"/>
        <v>0</v>
      </c>
      <c r="AM462" s="20">
        <f t="shared" si="683"/>
        <v>0</v>
      </c>
    </row>
    <row r="463" spans="1:39" s="2" customFormat="1" ht="31.5" outlineLevel="3" x14ac:dyDescent="0.25">
      <c r="A463" s="8" t="s">
        <v>368</v>
      </c>
      <c r="B463" s="33" t="s">
        <v>58</v>
      </c>
      <c r="C463" s="26" t="s">
        <v>32</v>
      </c>
      <c r="D463" s="26" t="s">
        <v>118</v>
      </c>
      <c r="E463" s="20">
        <f>SUM(F463:I463)</f>
        <v>51</v>
      </c>
      <c r="F463" s="38">
        <f>K463+P463+U463</f>
        <v>0</v>
      </c>
      <c r="G463" s="38">
        <f>L463+Q463+V463+AA463+AF463+AK463</f>
        <v>0</v>
      </c>
      <c r="H463" s="38">
        <f>M463+R463+W463+AB463+AG463+AL463</f>
        <v>51</v>
      </c>
      <c r="I463" s="38">
        <f t="shared" ref="I463:I475" si="684">N463+S463+X463+AC463+AH463+AM463</f>
        <v>0</v>
      </c>
      <c r="J463" s="18">
        <f>SUM(K463:N463)</f>
        <v>51</v>
      </c>
      <c r="K463" s="19">
        <v>0</v>
      </c>
      <c r="L463" s="19">
        <v>0</v>
      </c>
      <c r="M463" s="19">
        <v>51</v>
      </c>
      <c r="N463" s="19">
        <v>0</v>
      </c>
      <c r="O463" s="18">
        <f>SUM(P463:S463)</f>
        <v>0</v>
      </c>
      <c r="P463" s="19">
        <v>0</v>
      </c>
      <c r="Q463" s="19">
        <v>0</v>
      </c>
      <c r="R463" s="19">
        <v>0</v>
      </c>
      <c r="S463" s="19">
        <v>0</v>
      </c>
      <c r="T463" s="18">
        <f>SUM(U463:X463)</f>
        <v>0</v>
      </c>
      <c r="U463" s="19">
        <v>0</v>
      </c>
      <c r="V463" s="19">
        <v>0</v>
      </c>
      <c r="W463" s="19">
        <v>0</v>
      </c>
      <c r="X463" s="19">
        <v>0</v>
      </c>
      <c r="Y463" s="18">
        <f>SUM(Z463:AC463)</f>
        <v>0</v>
      </c>
      <c r="Z463" s="19">
        <v>0</v>
      </c>
      <c r="AA463" s="19">
        <v>0</v>
      </c>
      <c r="AB463" s="19">
        <v>0</v>
      </c>
      <c r="AC463" s="19">
        <v>0</v>
      </c>
      <c r="AD463" s="18">
        <f>SUM(AE463:AH463)</f>
        <v>0</v>
      </c>
      <c r="AE463" s="19">
        <v>0</v>
      </c>
      <c r="AF463" s="19">
        <v>0</v>
      </c>
      <c r="AG463" s="19">
        <v>0</v>
      </c>
      <c r="AH463" s="19">
        <v>0</v>
      </c>
      <c r="AI463" s="18">
        <f>SUM(AJ463:AM463)</f>
        <v>0</v>
      </c>
      <c r="AJ463" s="19">
        <v>0</v>
      </c>
      <c r="AK463" s="19">
        <v>0</v>
      </c>
      <c r="AL463" s="19">
        <v>0</v>
      </c>
      <c r="AM463" s="19">
        <v>0</v>
      </c>
    </row>
    <row r="464" spans="1:39" s="2" customFormat="1" ht="31.5" customHeight="1" outlineLevel="1" x14ac:dyDescent="0.25">
      <c r="A464" s="165" t="s">
        <v>369</v>
      </c>
      <c r="B464" s="204" t="s">
        <v>370</v>
      </c>
      <c r="C464" s="201"/>
      <c r="D464" s="202"/>
      <c r="E464" s="20">
        <f>SUM(E465:E488)</f>
        <v>48011.5</v>
      </c>
      <c r="F464" s="20">
        <f t="shared" ref="F464:AM464" si="685">SUM(F465:F488)</f>
        <v>0</v>
      </c>
      <c r="G464" s="20">
        <f t="shared" si="685"/>
        <v>0</v>
      </c>
      <c r="H464" s="20">
        <f t="shared" si="685"/>
        <v>48011.5</v>
      </c>
      <c r="I464" s="20">
        <f t="shared" si="685"/>
        <v>0</v>
      </c>
      <c r="J464" s="20">
        <f t="shared" si="685"/>
        <v>1193.5000000000002</v>
      </c>
      <c r="K464" s="20">
        <f t="shared" si="685"/>
        <v>0</v>
      </c>
      <c r="L464" s="20">
        <f t="shared" si="685"/>
        <v>0</v>
      </c>
      <c r="M464" s="20">
        <f t="shared" si="685"/>
        <v>1193.5000000000002</v>
      </c>
      <c r="N464" s="20">
        <f t="shared" si="685"/>
        <v>0</v>
      </c>
      <c r="O464" s="20">
        <f t="shared" si="685"/>
        <v>8937.5</v>
      </c>
      <c r="P464" s="20">
        <f t="shared" si="685"/>
        <v>0</v>
      </c>
      <c r="Q464" s="20">
        <f t="shared" si="685"/>
        <v>0</v>
      </c>
      <c r="R464" s="20">
        <f t="shared" si="685"/>
        <v>8937.5</v>
      </c>
      <c r="S464" s="20">
        <f t="shared" si="685"/>
        <v>0</v>
      </c>
      <c r="T464" s="20">
        <f t="shared" si="685"/>
        <v>2447.5</v>
      </c>
      <c r="U464" s="20">
        <f t="shared" si="685"/>
        <v>0</v>
      </c>
      <c r="V464" s="20">
        <f t="shared" si="685"/>
        <v>0</v>
      </c>
      <c r="W464" s="20">
        <f t="shared" si="685"/>
        <v>2447.5</v>
      </c>
      <c r="X464" s="20">
        <f t="shared" si="685"/>
        <v>0</v>
      </c>
      <c r="Y464" s="20">
        <f t="shared" si="685"/>
        <v>17784.2</v>
      </c>
      <c r="Z464" s="20">
        <f t="shared" si="685"/>
        <v>0</v>
      </c>
      <c r="AA464" s="20">
        <f t="shared" si="685"/>
        <v>0</v>
      </c>
      <c r="AB464" s="20">
        <f t="shared" si="685"/>
        <v>17784.2</v>
      </c>
      <c r="AC464" s="20">
        <f t="shared" si="685"/>
        <v>0</v>
      </c>
      <c r="AD464" s="20">
        <f t="shared" si="685"/>
        <v>17648.8</v>
      </c>
      <c r="AE464" s="20">
        <f t="shared" si="685"/>
        <v>0</v>
      </c>
      <c r="AF464" s="20">
        <f t="shared" si="685"/>
        <v>0</v>
      </c>
      <c r="AG464" s="20">
        <f t="shared" si="685"/>
        <v>17648.8</v>
      </c>
      <c r="AH464" s="20">
        <f t="shared" si="685"/>
        <v>0</v>
      </c>
      <c r="AI464" s="20">
        <f t="shared" si="685"/>
        <v>0</v>
      </c>
      <c r="AJ464" s="20">
        <f t="shared" si="685"/>
        <v>0</v>
      </c>
      <c r="AK464" s="20">
        <f t="shared" si="685"/>
        <v>0</v>
      </c>
      <c r="AL464" s="20">
        <f t="shared" si="685"/>
        <v>0</v>
      </c>
      <c r="AM464" s="20">
        <f t="shared" si="685"/>
        <v>0</v>
      </c>
    </row>
    <row r="465" spans="1:39" s="2" customFormat="1" ht="78.75" outlineLevel="3" x14ac:dyDescent="0.25">
      <c r="A465" s="8" t="s">
        <v>558</v>
      </c>
      <c r="B465" s="33" t="s">
        <v>361</v>
      </c>
      <c r="C465" s="26" t="s">
        <v>376</v>
      </c>
      <c r="D465" s="26" t="s">
        <v>118</v>
      </c>
      <c r="E465" s="20">
        <f t="shared" ref="E465:E481" si="686">SUM(F465:I465)</f>
        <v>3126.5</v>
      </c>
      <c r="F465" s="38">
        <f>K465+P465+U465</f>
        <v>0</v>
      </c>
      <c r="G465" s="38">
        <f t="shared" ref="G465:G481" si="687">L465+Q465+V465+AA465+AF465+AK465</f>
        <v>0</v>
      </c>
      <c r="H465" s="38">
        <f t="shared" ref="H465:H481" si="688">M465+R465+W465+AB465+AG465+AL465</f>
        <v>3126.5</v>
      </c>
      <c r="I465" s="38">
        <f t="shared" si="684"/>
        <v>0</v>
      </c>
      <c r="J465" s="18">
        <f t="shared" ref="J465:J479" si="689">SUM(K465:N465)</f>
        <v>991.30000000000018</v>
      </c>
      <c r="K465" s="19">
        <v>0</v>
      </c>
      <c r="L465" s="19">
        <v>0</v>
      </c>
      <c r="M465" s="19">
        <f>3126.5-2135.2</f>
        <v>991.30000000000018</v>
      </c>
      <c r="N465" s="19">
        <v>0</v>
      </c>
      <c r="O465" s="18">
        <f t="shared" ref="O465:O479" si="690">Q465+R465+S465</f>
        <v>2135.1999999999998</v>
      </c>
      <c r="P465" s="19">
        <v>0</v>
      </c>
      <c r="Q465" s="19">
        <v>0</v>
      </c>
      <c r="R465" s="19">
        <v>2135.1999999999998</v>
      </c>
      <c r="S465" s="19">
        <v>0</v>
      </c>
      <c r="T465" s="18">
        <f t="shared" ref="T465:T481" si="691">SUM(U465:X465)</f>
        <v>0</v>
      </c>
      <c r="U465" s="19">
        <v>0</v>
      </c>
      <c r="V465" s="19">
        <v>0</v>
      </c>
      <c r="W465" s="19">
        <v>0</v>
      </c>
      <c r="X465" s="19">
        <v>0</v>
      </c>
      <c r="Y465" s="18">
        <f t="shared" ref="Y465:Y478" si="692">SUM(Z465:AC465)</f>
        <v>0</v>
      </c>
      <c r="Z465" s="19">
        <v>0</v>
      </c>
      <c r="AA465" s="19">
        <v>0</v>
      </c>
      <c r="AB465" s="19">
        <v>0</v>
      </c>
      <c r="AC465" s="19">
        <v>0</v>
      </c>
      <c r="AD465" s="18">
        <f t="shared" ref="AD465:AD478" si="693">SUM(AE465:AH465)</f>
        <v>0</v>
      </c>
      <c r="AE465" s="19">
        <v>0</v>
      </c>
      <c r="AF465" s="19">
        <v>0</v>
      </c>
      <c r="AG465" s="19">
        <v>0</v>
      </c>
      <c r="AH465" s="19">
        <v>0</v>
      </c>
      <c r="AI465" s="18">
        <f t="shared" ref="AI465:AI478" si="694">SUM(AJ465:AM465)</f>
        <v>0</v>
      </c>
      <c r="AJ465" s="19">
        <v>0</v>
      </c>
      <c r="AK465" s="19">
        <v>0</v>
      </c>
      <c r="AL465" s="19">
        <v>0</v>
      </c>
      <c r="AM465" s="19">
        <v>0</v>
      </c>
    </row>
    <row r="466" spans="1:39" s="2" customFormat="1" ht="78.75" outlineLevel="3" x14ac:dyDescent="0.25">
      <c r="A466" s="8" t="s">
        <v>420</v>
      </c>
      <c r="B466" s="33" t="s">
        <v>371</v>
      </c>
      <c r="C466" s="26" t="s">
        <v>32</v>
      </c>
      <c r="D466" s="26" t="s">
        <v>118</v>
      </c>
      <c r="E466" s="20">
        <f t="shared" si="686"/>
        <v>202.2</v>
      </c>
      <c r="F466" s="38">
        <f t="shared" ref="F466:F472" si="695">K466+P466+U466</f>
        <v>0</v>
      </c>
      <c r="G466" s="38">
        <f t="shared" si="687"/>
        <v>0</v>
      </c>
      <c r="H466" s="38">
        <f t="shared" si="688"/>
        <v>202.2</v>
      </c>
      <c r="I466" s="38">
        <f t="shared" si="684"/>
        <v>0</v>
      </c>
      <c r="J466" s="18">
        <f t="shared" si="689"/>
        <v>202.2</v>
      </c>
      <c r="K466" s="19">
        <v>0</v>
      </c>
      <c r="L466" s="19">
        <v>0</v>
      </c>
      <c r="M466" s="19">
        <v>202.2</v>
      </c>
      <c r="N466" s="19">
        <v>0</v>
      </c>
      <c r="O466" s="18">
        <f t="shared" si="690"/>
        <v>0</v>
      </c>
      <c r="P466" s="19">
        <v>0</v>
      </c>
      <c r="Q466" s="19">
        <v>0</v>
      </c>
      <c r="R466" s="19">
        <v>0</v>
      </c>
      <c r="S466" s="19">
        <v>0</v>
      </c>
      <c r="T466" s="18">
        <f t="shared" si="691"/>
        <v>0</v>
      </c>
      <c r="U466" s="19">
        <v>0</v>
      </c>
      <c r="V466" s="19">
        <v>0</v>
      </c>
      <c r="W466" s="19">
        <v>0</v>
      </c>
      <c r="X466" s="19">
        <v>0</v>
      </c>
      <c r="Y466" s="18">
        <f t="shared" si="692"/>
        <v>0</v>
      </c>
      <c r="Z466" s="19">
        <v>0</v>
      </c>
      <c r="AA466" s="19">
        <v>0</v>
      </c>
      <c r="AB466" s="19">
        <v>0</v>
      </c>
      <c r="AC466" s="19">
        <v>0</v>
      </c>
      <c r="AD466" s="18">
        <f t="shared" si="693"/>
        <v>0</v>
      </c>
      <c r="AE466" s="19">
        <v>0</v>
      </c>
      <c r="AF466" s="19">
        <v>0</v>
      </c>
      <c r="AG466" s="19">
        <v>0</v>
      </c>
      <c r="AH466" s="19">
        <v>0</v>
      </c>
      <c r="AI466" s="18">
        <f t="shared" si="694"/>
        <v>0</v>
      </c>
      <c r="AJ466" s="19">
        <v>0</v>
      </c>
      <c r="AK466" s="19">
        <v>0</v>
      </c>
      <c r="AL466" s="19">
        <v>0</v>
      </c>
      <c r="AM466" s="19">
        <v>0</v>
      </c>
    </row>
    <row r="467" spans="1:39" s="2" customFormat="1" ht="78.75" outlineLevel="3" x14ac:dyDescent="0.25">
      <c r="A467" s="8" t="s">
        <v>559</v>
      </c>
      <c r="B467" s="33" t="s">
        <v>733</v>
      </c>
      <c r="C467" s="26" t="s">
        <v>32</v>
      </c>
      <c r="D467" s="26" t="s">
        <v>118</v>
      </c>
      <c r="E467" s="20">
        <f t="shared" si="686"/>
        <v>226.1</v>
      </c>
      <c r="F467" s="38">
        <f>K467+P467+U467</f>
        <v>0</v>
      </c>
      <c r="G467" s="38">
        <f t="shared" si="687"/>
        <v>0</v>
      </c>
      <c r="H467" s="38">
        <f t="shared" si="688"/>
        <v>226.1</v>
      </c>
      <c r="I467" s="38">
        <f t="shared" ref="I467:I472" si="696">N467+S467+X467+AC467+AH467+AM467</f>
        <v>0</v>
      </c>
      <c r="J467" s="18">
        <f t="shared" si="689"/>
        <v>0</v>
      </c>
      <c r="K467" s="19">
        <v>0</v>
      </c>
      <c r="L467" s="19">
        <v>0</v>
      </c>
      <c r="M467" s="19">
        <v>0</v>
      </c>
      <c r="N467" s="19">
        <v>0</v>
      </c>
      <c r="O467" s="18">
        <f t="shared" si="690"/>
        <v>226.1</v>
      </c>
      <c r="P467" s="19">
        <v>0</v>
      </c>
      <c r="Q467" s="19">
        <v>0</v>
      </c>
      <c r="R467" s="19">
        <v>226.1</v>
      </c>
      <c r="S467" s="19">
        <v>0</v>
      </c>
      <c r="T467" s="18">
        <f t="shared" si="691"/>
        <v>0</v>
      </c>
      <c r="U467" s="19">
        <v>0</v>
      </c>
      <c r="V467" s="19">
        <v>0</v>
      </c>
      <c r="W467" s="19">
        <v>0</v>
      </c>
      <c r="X467" s="19">
        <v>0</v>
      </c>
      <c r="Y467" s="18">
        <f t="shared" si="692"/>
        <v>0</v>
      </c>
      <c r="Z467" s="19">
        <v>0</v>
      </c>
      <c r="AA467" s="19">
        <v>0</v>
      </c>
      <c r="AB467" s="19">
        <v>0</v>
      </c>
      <c r="AC467" s="19">
        <v>0</v>
      </c>
      <c r="AD467" s="18">
        <f t="shared" si="693"/>
        <v>0</v>
      </c>
      <c r="AE467" s="19">
        <v>0</v>
      </c>
      <c r="AF467" s="19">
        <v>0</v>
      </c>
      <c r="AG467" s="19">
        <v>0</v>
      </c>
      <c r="AH467" s="19">
        <v>0</v>
      </c>
      <c r="AI467" s="18">
        <f t="shared" si="694"/>
        <v>0</v>
      </c>
      <c r="AJ467" s="19">
        <v>0</v>
      </c>
      <c r="AK467" s="19">
        <v>0</v>
      </c>
      <c r="AL467" s="19">
        <v>0</v>
      </c>
      <c r="AM467" s="19">
        <v>0</v>
      </c>
    </row>
    <row r="468" spans="1:39" s="2" customFormat="1" ht="47.25" outlineLevel="3" x14ac:dyDescent="0.25">
      <c r="A468" s="8" t="s">
        <v>481</v>
      </c>
      <c r="B468" s="34" t="s">
        <v>506</v>
      </c>
      <c r="C468" s="26" t="s">
        <v>32</v>
      </c>
      <c r="D468" s="26" t="s">
        <v>118</v>
      </c>
      <c r="E468" s="20">
        <f t="shared" si="686"/>
        <v>568.9</v>
      </c>
      <c r="F468" s="38">
        <f t="shared" si="695"/>
        <v>0</v>
      </c>
      <c r="G468" s="38">
        <f t="shared" si="687"/>
        <v>0</v>
      </c>
      <c r="H468" s="38">
        <f t="shared" si="688"/>
        <v>568.9</v>
      </c>
      <c r="I468" s="38">
        <f t="shared" si="696"/>
        <v>0</v>
      </c>
      <c r="J468" s="18">
        <f t="shared" si="689"/>
        <v>0</v>
      </c>
      <c r="K468" s="19">
        <v>0</v>
      </c>
      <c r="L468" s="19">
        <v>0</v>
      </c>
      <c r="M468" s="19">
        <v>0</v>
      </c>
      <c r="N468" s="19">
        <v>0</v>
      </c>
      <c r="O468" s="18">
        <f t="shared" si="690"/>
        <v>568.9</v>
      </c>
      <c r="P468" s="19">
        <v>0</v>
      </c>
      <c r="Q468" s="19">
        <v>0</v>
      </c>
      <c r="R468" s="19">
        <f>861.9-293</f>
        <v>568.9</v>
      </c>
      <c r="S468" s="19">
        <v>0</v>
      </c>
      <c r="T468" s="18">
        <f t="shared" si="691"/>
        <v>0</v>
      </c>
      <c r="U468" s="19">
        <v>0</v>
      </c>
      <c r="V468" s="19">
        <v>0</v>
      </c>
      <c r="W468" s="19">
        <v>0</v>
      </c>
      <c r="X468" s="19">
        <v>0</v>
      </c>
      <c r="Y468" s="18">
        <f t="shared" si="692"/>
        <v>0</v>
      </c>
      <c r="Z468" s="19">
        <v>0</v>
      </c>
      <c r="AA468" s="19">
        <v>0</v>
      </c>
      <c r="AB468" s="19">
        <v>0</v>
      </c>
      <c r="AC468" s="19">
        <v>0</v>
      </c>
      <c r="AD468" s="18">
        <f t="shared" si="693"/>
        <v>0</v>
      </c>
      <c r="AE468" s="19">
        <v>0</v>
      </c>
      <c r="AF468" s="19">
        <v>0</v>
      </c>
      <c r="AG468" s="19">
        <v>0</v>
      </c>
      <c r="AH468" s="19">
        <v>0</v>
      </c>
      <c r="AI468" s="18">
        <f t="shared" si="694"/>
        <v>0</v>
      </c>
      <c r="AJ468" s="19">
        <v>0</v>
      </c>
      <c r="AK468" s="19">
        <v>0</v>
      </c>
      <c r="AL468" s="19">
        <v>0</v>
      </c>
      <c r="AM468" s="19">
        <v>0</v>
      </c>
    </row>
    <row r="469" spans="1:39" s="2" customFormat="1" ht="78.75" outlineLevel="3" x14ac:dyDescent="0.25">
      <c r="A469" s="8" t="s">
        <v>510</v>
      </c>
      <c r="B469" s="34" t="s">
        <v>564</v>
      </c>
      <c r="C469" s="26" t="s">
        <v>32</v>
      </c>
      <c r="D469" s="26" t="s">
        <v>118</v>
      </c>
      <c r="E469" s="20">
        <f t="shared" si="686"/>
        <v>22.299999999999997</v>
      </c>
      <c r="F469" s="38">
        <f>K469+P469+U469</f>
        <v>0</v>
      </c>
      <c r="G469" s="38">
        <f t="shared" si="687"/>
        <v>0</v>
      </c>
      <c r="H469" s="38">
        <f t="shared" si="688"/>
        <v>22.299999999999997</v>
      </c>
      <c r="I469" s="38">
        <f t="shared" si="696"/>
        <v>0</v>
      </c>
      <c r="J469" s="18">
        <f t="shared" si="689"/>
        <v>0</v>
      </c>
      <c r="K469" s="19">
        <v>0</v>
      </c>
      <c r="L469" s="19">
        <v>0</v>
      </c>
      <c r="M469" s="19">
        <v>0</v>
      </c>
      <c r="N469" s="19">
        <v>0</v>
      </c>
      <c r="O469" s="18">
        <f t="shared" si="690"/>
        <v>22.299999999999997</v>
      </c>
      <c r="P469" s="19">
        <v>0</v>
      </c>
      <c r="Q469" s="19">
        <v>0</v>
      </c>
      <c r="R469" s="19">
        <f>99-76.7</f>
        <v>22.299999999999997</v>
      </c>
      <c r="S469" s="19">
        <v>0</v>
      </c>
      <c r="T469" s="18">
        <f t="shared" si="691"/>
        <v>0</v>
      </c>
      <c r="U469" s="19">
        <v>0</v>
      </c>
      <c r="V469" s="19">
        <v>0</v>
      </c>
      <c r="W469" s="19">
        <v>0</v>
      </c>
      <c r="X469" s="19">
        <v>0</v>
      </c>
      <c r="Y469" s="18">
        <f t="shared" si="692"/>
        <v>0</v>
      </c>
      <c r="Z469" s="19">
        <v>0</v>
      </c>
      <c r="AA469" s="19">
        <v>0</v>
      </c>
      <c r="AB469" s="19">
        <v>0</v>
      </c>
      <c r="AC469" s="19">
        <v>0</v>
      </c>
      <c r="AD469" s="18">
        <f t="shared" si="693"/>
        <v>0</v>
      </c>
      <c r="AE469" s="19">
        <v>0</v>
      </c>
      <c r="AF469" s="19">
        <v>0</v>
      </c>
      <c r="AG469" s="19">
        <v>0</v>
      </c>
      <c r="AH469" s="19">
        <v>0</v>
      </c>
      <c r="AI469" s="18">
        <f t="shared" si="694"/>
        <v>0</v>
      </c>
      <c r="AJ469" s="19">
        <v>0</v>
      </c>
      <c r="AK469" s="19">
        <v>0</v>
      </c>
      <c r="AL469" s="19">
        <v>0</v>
      </c>
      <c r="AM469" s="19">
        <v>0</v>
      </c>
    </row>
    <row r="470" spans="1:39" s="2" customFormat="1" ht="94.5" outlineLevel="3" x14ac:dyDescent="0.25">
      <c r="A470" s="8" t="s">
        <v>527</v>
      </c>
      <c r="B470" s="34" t="s">
        <v>567</v>
      </c>
      <c r="C470" s="26" t="s">
        <v>32</v>
      </c>
      <c r="D470" s="26" t="s">
        <v>8</v>
      </c>
      <c r="E470" s="20">
        <f t="shared" si="686"/>
        <v>50</v>
      </c>
      <c r="F470" s="38">
        <f>K470+P470+U470</f>
        <v>0</v>
      </c>
      <c r="G470" s="38">
        <f t="shared" si="687"/>
        <v>0</v>
      </c>
      <c r="H470" s="38">
        <f t="shared" si="688"/>
        <v>50</v>
      </c>
      <c r="I470" s="38">
        <f t="shared" si="696"/>
        <v>0</v>
      </c>
      <c r="J470" s="18">
        <f t="shared" si="689"/>
        <v>0</v>
      </c>
      <c r="K470" s="19">
        <v>0</v>
      </c>
      <c r="L470" s="19">
        <v>0</v>
      </c>
      <c r="M470" s="19">
        <v>0</v>
      </c>
      <c r="N470" s="19">
        <v>0</v>
      </c>
      <c r="O470" s="18">
        <f t="shared" si="690"/>
        <v>50</v>
      </c>
      <c r="P470" s="19">
        <v>0</v>
      </c>
      <c r="Q470" s="19">
        <v>0</v>
      </c>
      <c r="R470" s="19">
        <v>50</v>
      </c>
      <c r="S470" s="19">
        <v>0</v>
      </c>
      <c r="T470" s="18">
        <f t="shared" si="691"/>
        <v>0</v>
      </c>
      <c r="U470" s="19">
        <v>0</v>
      </c>
      <c r="V470" s="19">
        <v>0</v>
      </c>
      <c r="W470" s="19">
        <v>0</v>
      </c>
      <c r="X470" s="19">
        <v>0</v>
      </c>
      <c r="Y470" s="18">
        <f t="shared" si="692"/>
        <v>0</v>
      </c>
      <c r="Z470" s="19">
        <v>0</v>
      </c>
      <c r="AA470" s="19">
        <v>0</v>
      </c>
      <c r="AB470" s="19">
        <v>0</v>
      </c>
      <c r="AC470" s="19">
        <v>0</v>
      </c>
      <c r="AD470" s="18">
        <f t="shared" si="693"/>
        <v>0</v>
      </c>
      <c r="AE470" s="19">
        <v>0</v>
      </c>
      <c r="AF470" s="19">
        <v>0</v>
      </c>
      <c r="AG470" s="19">
        <v>0</v>
      </c>
      <c r="AH470" s="19">
        <v>0</v>
      </c>
      <c r="AI470" s="18">
        <f t="shared" si="694"/>
        <v>0</v>
      </c>
      <c r="AJ470" s="19">
        <v>0</v>
      </c>
      <c r="AK470" s="19">
        <v>0</v>
      </c>
      <c r="AL470" s="19">
        <v>0</v>
      </c>
      <c r="AM470" s="19">
        <v>0</v>
      </c>
    </row>
    <row r="471" spans="1:39" s="2" customFormat="1" ht="63" outlineLevel="3" x14ac:dyDescent="0.25">
      <c r="A471" s="8" t="s">
        <v>560</v>
      </c>
      <c r="B471" s="34" t="s">
        <v>569</v>
      </c>
      <c r="C471" s="26" t="s">
        <v>32</v>
      </c>
      <c r="D471" s="26" t="s">
        <v>118</v>
      </c>
      <c r="E471" s="20">
        <f t="shared" si="686"/>
        <v>1200</v>
      </c>
      <c r="F471" s="38">
        <f>K471+P471+U471</f>
        <v>0</v>
      </c>
      <c r="G471" s="38">
        <f t="shared" si="687"/>
        <v>0</v>
      </c>
      <c r="H471" s="38">
        <f t="shared" si="688"/>
        <v>1200</v>
      </c>
      <c r="I471" s="38">
        <f t="shared" si="696"/>
        <v>0</v>
      </c>
      <c r="J471" s="18">
        <f t="shared" si="689"/>
        <v>0</v>
      </c>
      <c r="K471" s="19">
        <v>0</v>
      </c>
      <c r="L471" s="19">
        <v>0</v>
      </c>
      <c r="M471" s="19">
        <v>0</v>
      </c>
      <c r="N471" s="19">
        <v>0</v>
      </c>
      <c r="O471" s="18">
        <f t="shared" si="690"/>
        <v>1200</v>
      </c>
      <c r="P471" s="19">
        <v>0</v>
      </c>
      <c r="Q471" s="19">
        <v>0</v>
      </c>
      <c r="R471" s="19">
        <v>1200</v>
      </c>
      <c r="S471" s="19">
        <v>0</v>
      </c>
      <c r="T471" s="18">
        <f t="shared" si="691"/>
        <v>0</v>
      </c>
      <c r="U471" s="19">
        <v>0</v>
      </c>
      <c r="V471" s="19">
        <v>0</v>
      </c>
      <c r="W471" s="19">
        <v>0</v>
      </c>
      <c r="X471" s="19">
        <v>0</v>
      </c>
      <c r="Y471" s="18">
        <f t="shared" si="692"/>
        <v>0</v>
      </c>
      <c r="Z471" s="19">
        <v>0</v>
      </c>
      <c r="AA471" s="19">
        <v>0</v>
      </c>
      <c r="AB471" s="19">
        <v>0</v>
      </c>
      <c r="AC471" s="19">
        <v>0</v>
      </c>
      <c r="AD471" s="18">
        <f t="shared" si="693"/>
        <v>0</v>
      </c>
      <c r="AE471" s="19">
        <v>0</v>
      </c>
      <c r="AF471" s="19">
        <v>0</v>
      </c>
      <c r="AG471" s="19">
        <v>0</v>
      </c>
      <c r="AH471" s="19">
        <v>0</v>
      </c>
      <c r="AI471" s="18">
        <f t="shared" si="694"/>
        <v>0</v>
      </c>
      <c r="AJ471" s="19">
        <v>0</v>
      </c>
      <c r="AK471" s="19">
        <v>0</v>
      </c>
      <c r="AL471" s="19">
        <v>0</v>
      </c>
      <c r="AM471" s="19">
        <v>0</v>
      </c>
    </row>
    <row r="472" spans="1:39" s="2" customFormat="1" ht="47.25" outlineLevel="3" x14ac:dyDescent="0.25">
      <c r="A472" s="8" t="s">
        <v>565</v>
      </c>
      <c r="B472" s="34" t="s">
        <v>511</v>
      </c>
      <c r="C472" s="26" t="s">
        <v>32</v>
      </c>
      <c r="D472" s="26" t="s">
        <v>118</v>
      </c>
      <c r="E472" s="20">
        <f t="shared" si="686"/>
        <v>1484.9</v>
      </c>
      <c r="F472" s="38">
        <f t="shared" si="695"/>
        <v>0</v>
      </c>
      <c r="G472" s="38">
        <f t="shared" si="687"/>
        <v>0</v>
      </c>
      <c r="H472" s="38">
        <f t="shared" si="688"/>
        <v>1484.9</v>
      </c>
      <c r="I472" s="38">
        <f t="shared" si="696"/>
        <v>0</v>
      </c>
      <c r="J472" s="18">
        <f t="shared" si="689"/>
        <v>0</v>
      </c>
      <c r="K472" s="19">
        <v>0</v>
      </c>
      <c r="L472" s="19">
        <v>0</v>
      </c>
      <c r="M472" s="19">
        <v>0</v>
      </c>
      <c r="N472" s="19">
        <v>0</v>
      </c>
      <c r="O472" s="18">
        <f t="shared" si="690"/>
        <v>1484.9</v>
      </c>
      <c r="P472" s="19">
        <v>0</v>
      </c>
      <c r="Q472" s="19">
        <v>0</v>
      </c>
      <c r="R472" s="19">
        <f>1538.7-53.8</f>
        <v>1484.9</v>
      </c>
      <c r="S472" s="19">
        <v>0</v>
      </c>
      <c r="T472" s="18">
        <f t="shared" si="691"/>
        <v>0</v>
      </c>
      <c r="U472" s="19">
        <v>0</v>
      </c>
      <c r="V472" s="19">
        <v>0</v>
      </c>
      <c r="W472" s="19">
        <v>0</v>
      </c>
      <c r="X472" s="19">
        <v>0</v>
      </c>
      <c r="Y472" s="18">
        <f t="shared" si="692"/>
        <v>0</v>
      </c>
      <c r="Z472" s="19">
        <v>0</v>
      </c>
      <c r="AA472" s="19">
        <v>0</v>
      </c>
      <c r="AB472" s="19">
        <v>0</v>
      </c>
      <c r="AC472" s="19">
        <v>0</v>
      </c>
      <c r="AD472" s="18">
        <f t="shared" si="693"/>
        <v>0</v>
      </c>
      <c r="AE472" s="19">
        <v>0</v>
      </c>
      <c r="AF472" s="19">
        <v>0</v>
      </c>
      <c r="AG472" s="19">
        <v>0</v>
      </c>
      <c r="AH472" s="19">
        <v>0</v>
      </c>
      <c r="AI472" s="18">
        <f t="shared" si="694"/>
        <v>0</v>
      </c>
      <c r="AJ472" s="19">
        <v>0</v>
      </c>
      <c r="AK472" s="19">
        <v>0</v>
      </c>
      <c r="AL472" s="19">
        <v>0</v>
      </c>
      <c r="AM472" s="19">
        <v>0</v>
      </c>
    </row>
    <row r="473" spans="1:39" s="2" customFormat="1" ht="47.25" outlineLevel="3" x14ac:dyDescent="0.25">
      <c r="A473" s="8" t="s">
        <v>708</v>
      </c>
      <c r="B473" s="34" t="s">
        <v>867</v>
      </c>
      <c r="C473" s="26" t="s">
        <v>32</v>
      </c>
      <c r="D473" s="26" t="s">
        <v>118</v>
      </c>
      <c r="E473" s="20">
        <f t="shared" si="686"/>
        <v>199.69999999999993</v>
      </c>
      <c r="F473" s="38">
        <f t="shared" ref="F473:F481" si="697">K473+P473+U473</f>
        <v>0</v>
      </c>
      <c r="G473" s="38">
        <f t="shared" si="687"/>
        <v>0</v>
      </c>
      <c r="H473" s="38">
        <f t="shared" si="688"/>
        <v>199.69999999999993</v>
      </c>
      <c r="I473" s="38">
        <f t="shared" si="684"/>
        <v>0</v>
      </c>
      <c r="J473" s="18">
        <f t="shared" si="689"/>
        <v>0</v>
      </c>
      <c r="K473" s="19">
        <v>0</v>
      </c>
      <c r="L473" s="19">
        <v>0</v>
      </c>
      <c r="M473" s="19">
        <v>0</v>
      </c>
      <c r="N473" s="19">
        <v>0</v>
      </c>
      <c r="O473" s="18">
        <f t="shared" si="690"/>
        <v>199.69999999999993</v>
      </c>
      <c r="P473" s="19">
        <v>0</v>
      </c>
      <c r="Q473" s="19">
        <v>0</v>
      </c>
      <c r="R473" s="19">
        <f>1138.6-938.9</f>
        <v>199.69999999999993</v>
      </c>
      <c r="S473" s="19">
        <v>0</v>
      </c>
      <c r="T473" s="18">
        <f t="shared" si="691"/>
        <v>0</v>
      </c>
      <c r="U473" s="19">
        <v>0</v>
      </c>
      <c r="V473" s="19">
        <v>0</v>
      </c>
      <c r="W473" s="19">
        <v>0</v>
      </c>
      <c r="X473" s="19">
        <v>0</v>
      </c>
      <c r="Y473" s="18">
        <f t="shared" si="692"/>
        <v>0</v>
      </c>
      <c r="Z473" s="19">
        <v>0</v>
      </c>
      <c r="AA473" s="19">
        <v>0</v>
      </c>
      <c r="AB473" s="19">
        <v>0</v>
      </c>
      <c r="AC473" s="19">
        <v>0</v>
      </c>
      <c r="AD473" s="18">
        <f t="shared" si="693"/>
        <v>0</v>
      </c>
      <c r="AE473" s="19">
        <v>0</v>
      </c>
      <c r="AF473" s="19">
        <v>0</v>
      </c>
      <c r="AG473" s="19">
        <v>0</v>
      </c>
      <c r="AH473" s="19">
        <v>0</v>
      </c>
      <c r="AI473" s="18">
        <f t="shared" si="694"/>
        <v>0</v>
      </c>
      <c r="AJ473" s="19">
        <v>0</v>
      </c>
      <c r="AK473" s="19">
        <v>0</v>
      </c>
      <c r="AL473" s="19">
        <v>0</v>
      </c>
      <c r="AM473" s="19">
        <v>0</v>
      </c>
    </row>
    <row r="474" spans="1:39" s="2" customFormat="1" ht="78.75" outlineLevel="2" x14ac:dyDescent="0.25">
      <c r="A474" s="8" t="s">
        <v>709</v>
      </c>
      <c r="B474" s="54" t="s">
        <v>541</v>
      </c>
      <c r="C474" s="26" t="s">
        <v>32</v>
      </c>
      <c r="D474" s="26" t="s">
        <v>118</v>
      </c>
      <c r="E474" s="20">
        <f t="shared" si="686"/>
        <v>2026.1</v>
      </c>
      <c r="F474" s="38">
        <f t="shared" si="697"/>
        <v>0</v>
      </c>
      <c r="G474" s="38">
        <f t="shared" si="687"/>
        <v>0</v>
      </c>
      <c r="H474" s="38">
        <f t="shared" si="688"/>
        <v>2026.1</v>
      </c>
      <c r="I474" s="38">
        <f t="shared" si="684"/>
        <v>0</v>
      </c>
      <c r="J474" s="18">
        <f t="shared" si="689"/>
        <v>0</v>
      </c>
      <c r="K474" s="19">
        <v>0</v>
      </c>
      <c r="L474" s="19">
        <v>0</v>
      </c>
      <c r="M474" s="19">
        <v>0</v>
      </c>
      <c r="N474" s="19">
        <v>0</v>
      </c>
      <c r="O474" s="18">
        <f t="shared" si="690"/>
        <v>2026.1</v>
      </c>
      <c r="P474" s="19">
        <v>0</v>
      </c>
      <c r="Q474" s="19">
        <v>0</v>
      </c>
      <c r="R474" s="19">
        <v>2026.1</v>
      </c>
      <c r="S474" s="19">
        <v>0</v>
      </c>
      <c r="T474" s="18">
        <f t="shared" si="691"/>
        <v>0</v>
      </c>
      <c r="U474" s="19">
        <v>0</v>
      </c>
      <c r="V474" s="19">
        <v>0</v>
      </c>
      <c r="W474" s="19">
        <v>0</v>
      </c>
      <c r="X474" s="19">
        <v>0</v>
      </c>
      <c r="Y474" s="18">
        <f t="shared" si="692"/>
        <v>0</v>
      </c>
      <c r="Z474" s="19">
        <v>0</v>
      </c>
      <c r="AA474" s="19">
        <v>0</v>
      </c>
      <c r="AB474" s="19">
        <v>0</v>
      </c>
      <c r="AC474" s="19">
        <v>0</v>
      </c>
      <c r="AD474" s="18">
        <f t="shared" si="693"/>
        <v>0</v>
      </c>
      <c r="AE474" s="19">
        <v>0</v>
      </c>
      <c r="AF474" s="19">
        <v>0</v>
      </c>
      <c r="AG474" s="19">
        <v>0</v>
      </c>
      <c r="AH474" s="19">
        <v>0</v>
      </c>
      <c r="AI474" s="18">
        <f t="shared" si="694"/>
        <v>0</v>
      </c>
      <c r="AJ474" s="19">
        <v>0</v>
      </c>
      <c r="AK474" s="19">
        <v>0</v>
      </c>
      <c r="AL474" s="19">
        <v>0</v>
      </c>
      <c r="AM474" s="19">
        <v>0</v>
      </c>
    </row>
    <row r="475" spans="1:39" s="2" customFormat="1" ht="31.5" outlineLevel="2" x14ac:dyDescent="0.25">
      <c r="A475" s="8" t="s">
        <v>719</v>
      </c>
      <c r="B475" s="54" t="s">
        <v>713</v>
      </c>
      <c r="C475" s="26" t="s">
        <v>32</v>
      </c>
      <c r="D475" s="26" t="s">
        <v>118</v>
      </c>
      <c r="E475" s="20">
        <f t="shared" si="686"/>
        <v>914.7</v>
      </c>
      <c r="F475" s="38">
        <f t="shared" si="697"/>
        <v>0</v>
      </c>
      <c r="G475" s="38">
        <f t="shared" si="687"/>
        <v>0</v>
      </c>
      <c r="H475" s="38">
        <f t="shared" si="688"/>
        <v>914.7</v>
      </c>
      <c r="I475" s="38">
        <f t="shared" si="684"/>
        <v>0</v>
      </c>
      <c r="J475" s="18">
        <f t="shared" si="689"/>
        <v>0</v>
      </c>
      <c r="K475" s="19">
        <v>0</v>
      </c>
      <c r="L475" s="19">
        <v>0</v>
      </c>
      <c r="M475" s="19">
        <v>0</v>
      </c>
      <c r="N475" s="19">
        <v>0</v>
      </c>
      <c r="O475" s="18">
        <f t="shared" si="690"/>
        <v>914.7</v>
      </c>
      <c r="P475" s="19">
        <v>0</v>
      </c>
      <c r="Q475" s="19">
        <v>0</v>
      </c>
      <c r="R475" s="19">
        <v>914.7</v>
      </c>
      <c r="S475" s="19">
        <v>0</v>
      </c>
      <c r="T475" s="18">
        <f t="shared" si="691"/>
        <v>0</v>
      </c>
      <c r="U475" s="19">
        <v>0</v>
      </c>
      <c r="V475" s="19">
        <v>0</v>
      </c>
      <c r="W475" s="19">
        <v>0</v>
      </c>
      <c r="X475" s="19">
        <v>0</v>
      </c>
      <c r="Y475" s="18">
        <f t="shared" si="692"/>
        <v>0</v>
      </c>
      <c r="Z475" s="19">
        <v>0</v>
      </c>
      <c r="AA475" s="19">
        <v>0</v>
      </c>
      <c r="AB475" s="19">
        <v>0</v>
      </c>
      <c r="AC475" s="19">
        <v>0</v>
      </c>
      <c r="AD475" s="18">
        <f t="shared" si="693"/>
        <v>0</v>
      </c>
      <c r="AE475" s="19">
        <v>0</v>
      </c>
      <c r="AF475" s="19">
        <v>0</v>
      </c>
      <c r="AG475" s="19">
        <v>0</v>
      </c>
      <c r="AH475" s="19">
        <v>0</v>
      </c>
      <c r="AI475" s="18">
        <f t="shared" si="694"/>
        <v>0</v>
      </c>
      <c r="AJ475" s="19">
        <v>0</v>
      </c>
      <c r="AK475" s="19">
        <v>0</v>
      </c>
      <c r="AL475" s="19">
        <v>0</v>
      </c>
      <c r="AM475" s="19">
        <v>0</v>
      </c>
    </row>
    <row r="476" spans="1:39" s="2" customFormat="1" ht="63" outlineLevel="2" x14ac:dyDescent="0.25">
      <c r="A476" s="8" t="s">
        <v>721</v>
      </c>
      <c r="B476" s="54" t="s">
        <v>720</v>
      </c>
      <c r="C476" s="26" t="s">
        <v>32</v>
      </c>
      <c r="D476" s="26" t="s">
        <v>118</v>
      </c>
      <c r="E476" s="20">
        <f t="shared" si="686"/>
        <v>24</v>
      </c>
      <c r="F476" s="38">
        <f t="shared" si="697"/>
        <v>0</v>
      </c>
      <c r="G476" s="38">
        <f t="shared" si="687"/>
        <v>0</v>
      </c>
      <c r="H476" s="38">
        <f t="shared" si="688"/>
        <v>24</v>
      </c>
      <c r="I476" s="38">
        <f t="shared" ref="I476:I481" si="698">N476+S476+X476+AC476+AH476+AM476</f>
        <v>0</v>
      </c>
      <c r="J476" s="18">
        <f t="shared" si="689"/>
        <v>0</v>
      </c>
      <c r="K476" s="19">
        <v>0</v>
      </c>
      <c r="L476" s="19">
        <v>0</v>
      </c>
      <c r="M476" s="19">
        <v>0</v>
      </c>
      <c r="N476" s="19">
        <v>0</v>
      </c>
      <c r="O476" s="18">
        <f t="shared" si="690"/>
        <v>24</v>
      </c>
      <c r="P476" s="19">
        <v>0</v>
      </c>
      <c r="Q476" s="19">
        <v>0</v>
      </c>
      <c r="R476" s="19">
        <v>24</v>
      </c>
      <c r="S476" s="19">
        <v>0</v>
      </c>
      <c r="T476" s="18">
        <f t="shared" si="691"/>
        <v>0</v>
      </c>
      <c r="U476" s="19">
        <v>0</v>
      </c>
      <c r="V476" s="19">
        <v>0</v>
      </c>
      <c r="W476" s="19">
        <v>0</v>
      </c>
      <c r="X476" s="19">
        <v>0</v>
      </c>
      <c r="Y476" s="18">
        <f t="shared" si="692"/>
        <v>0</v>
      </c>
      <c r="Z476" s="19">
        <v>0</v>
      </c>
      <c r="AA476" s="19">
        <v>0</v>
      </c>
      <c r="AB476" s="19">
        <v>0</v>
      </c>
      <c r="AC476" s="19">
        <v>0</v>
      </c>
      <c r="AD476" s="18">
        <f t="shared" si="693"/>
        <v>0</v>
      </c>
      <c r="AE476" s="19">
        <v>0</v>
      </c>
      <c r="AF476" s="19">
        <v>0</v>
      </c>
      <c r="AG476" s="19">
        <v>0</v>
      </c>
      <c r="AH476" s="19">
        <v>0</v>
      </c>
      <c r="AI476" s="18">
        <f t="shared" si="694"/>
        <v>0</v>
      </c>
      <c r="AJ476" s="19">
        <v>0</v>
      </c>
      <c r="AK476" s="19">
        <v>0</v>
      </c>
      <c r="AL476" s="19">
        <v>0</v>
      </c>
      <c r="AM476" s="19">
        <v>0</v>
      </c>
    </row>
    <row r="477" spans="1:39" s="2" customFormat="1" ht="47.25" outlineLevel="2" x14ac:dyDescent="0.25">
      <c r="A477" s="8" t="s">
        <v>743</v>
      </c>
      <c r="B477" s="54" t="s">
        <v>742</v>
      </c>
      <c r="C477" s="26" t="s">
        <v>32</v>
      </c>
      <c r="D477" s="26" t="s">
        <v>118</v>
      </c>
      <c r="E477" s="20">
        <f t="shared" si="686"/>
        <v>85.6</v>
      </c>
      <c r="F477" s="38">
        <f t="shared" si="697"/>
        <v>0</v>
      </c>
      <c r="G477" s="38">
        <f t="shared" si="687"/>
        <v>0</v>
      </c>
      <c r="H477" s="38">
        <f t="shared" si="688"/>
        <v>85.6</v>
      </c>
      <c r="I477" s="38">
        <f t="shared" si="698"/>
        <v>0</v>
      </c>
      <c r="J477" s="18">
        <f t="shared" si="689"/>
        <v>0</v>
      </c>
      <c r="K477" s="19">
        <v>0</v>
      </c>
      <c r="L477" s="19">
        <v>0</v>
      </c>
      <c r="M477" s="19">
        <v>0</v>
      </c>
      <c r="N477" s="19">
        <v>0</v>
      </c>
      <c r="O477" s="18">
        <f t="shared" si="690"/>
        <v>85.6</v>
      </c>
      <c r="P477" s="19"/>
      <c r="Q477" s="19">
        <v>0</v>
      </c>
      <c r="R477" s="19">
        <v>85.6</v>
      </c>
      <c r="S477" s="19">
        <v>0</v>
      </c>
      <c r="T477" s="18">
        <f t="shared" si="691"/>
        <v>0</v>
      </c>
      <c r="U477" s="19">
        <v>0</v>
      </c>
      <c r="V477" s="19">
        <v>0</v>
      </c>
      <c r="W477" s="19">
        <v>0</v>
      </c>
      <c r="X477" s="19">
        <v>0</v>
      </c>
      <c r="Y477" s="18">
        <f t="shared" si="692"/>
        <v>0</v>
      </c>
      <c r="Z477" s="19">
        <v>0</v>
      </c>
      <c r="AA477" s="19">
        <v>0</v>
      </c>
      <c r="AB477" s="19">
        <v>0</v>
      </c>
      <c r="AC477" s="19">
        <v>0</v>
      </c>
      <c r="AD477" s="18">
        <f t="shared" si="693"/>
        <v>0</v>
      </c>
      <c r="AE477" s="19">
        <v>0</v>
      </c>
      <c r="AF477" s="19">
        <v>0</v>
      </c>
      <c r="AG477" s="19">
        <v>0</v>
      </c>
      <c r="AH477" s="19">
        <v>0</v>
      </c>
      <c r="AI477" s="18">
        <f t="shared" si="694"/>
        <v>0</v>
      </c>
      <c r="AJ477" s="19">
        <v>0</v>
      </c>
      <c r="AK477" s="19">
        <v>0</v>
      </c>
      <c r="AL477" s="19">
        <v>0</v>
      </c>
      <c r="AM477" s="19">
        <v>0</v>
      </c>
    </row>
    <row r="478" spans="1:39" s="2" customFormat="1" ht="47.25" outlineLevel="2" x14ac:dyDescent="0.25">
      <c r="A478" s="8" t="s">
        <v>786</v>
      </c>
      <c r="B478" s="54" t="s">
        <v>787</v>
      </c>
      <c r="C478" s="26" t="s">
        <v>32</v>
      </c>
      <c r="D478" s="26" t="s">
        <v>118</v>
      </c>
      <c r="E478" s="20">
        <f t="shared" si="686"/>
        <v>399.79999999999995</v>
      </c>
      <c r="F478" s="38">
        <f t="shared" si="697"/>
        <v>0</v>
      </c>
      <c r="G478" s="38">
        <f t="shared" si="687"/>
        <v>0</v>
      </c>
      <c r="H478" s="38">
        <f t="shared" si="688"/>
        <v>399.79999999999995</v>
      </c>
      <c r="I478" s="38">
        <f t="shared" si="698"/>
        <v>0</v>
      </c>
      <c r="J478" s="18">
        <f t="shared" si="689"/>
        <v>0</v>
      </c>
      <c r="K478" s="19">
        <v>0</v>
      </c>
      <c r="L478" s="19">
        <v>0</v>
      </c>
      <c r="M478" s="19">
        <v>0</v>
      </c>
      <c r="N478" s="19">
        <v>0</v>
      </c>
      <c r="O478" s="18">
        <f t="shared" si="690"/>
        <v>0</v>
      </c>
      <c r="P478" s="19"/>
      <c r="Q478" s="19">
        <v>0</v>
      </c>
      <c r="R478" s="19">
        <v>0</v>
      </c>
      <c r="S478" s="19">
        <v>0</v>
      </c>
      <c r="T478" s="18">
        <f t="shared" si="691"/>
        <v>399.79999999999995</v>
      </c>
      <c r="U478" s="19">
        <v>0</v>
      </c>
      <c r="V478" s="19">
        <v>0</v>
      </c>
      <c r="W478" s="19">
        <f>571.3-171.5</f>
        <v>399.79999999999995</v>
      </c>
      <c r="X478" s="19">
        <v>0</v>
      </c>
      <c r="Y478" s="18">
        <f t="shared" si="692"/>
        <v>0</v>
      </c>
      <c r="Z478" s="19">
        <v>0</v>
      </c>
      <c r="AA478" s="19">
        <v>0</v>
      </c>
      <c r="AB478" s="19">
        <v>0</v>
      </c>
      <c r="AC478" s="19">
        <v>0</v>
      </c>
      <c r="AD478" s="18">
        <f t="shared" si="693"/>
        <v>0</v>
      </c>
      <c r="AE478" s="19">
        <v>0</v>
      </c>
      <c r="AF478" s="19">
        <v>0</v>
      </c>
      <c r="AG478" s="19">
        <v>0</v>
      </c>
      <c r="AH478" s="19">
        <v>0</v>
      </c>
      <c r="AI478" s="18">
        <f t="shared" si="694"/>
        <v>0</v>
      </c>
      <c r="AJ478" s="19">
        <v>0</v>
      </c>
      <c r="AK478" s="19">
        <v>0</v>
      </c>
      <c r="AL478" s="19">
        <v>0</v>
      </c>
      <c r="AM478" s="19">
        <v>0</v>
      </c>
    </row>
    <row r="479" spans="1:39" s="2" customFormat="1" ht="78.75" outlineLevel="2" x14ac:dyDescent="0.25">
      <c r="A479" s="8" t="s">
        <v>833</v>
      </c>
      <c r="B479" s="54" t="s">
        <v>834</v>
      </c>
      <c r="C479" s="26" t="s">
        <v>32</v>
      </c>
      <c r="D479" s="26" t="s">
        <v>118</v>
      </c>
      <c r="E479" s="20">
        <f t="shared" si="686"/>
        <v>179.3</v>
      </c>
      <c r="F479" s="38">
        <f t="shared" si="697"/>
        <v>0</v>
      </c>
      <c r="G479" s="38">
        <f t="shared" si="687"/>
        <v>0</v>
      </c>
      <c r="H479" s="38">
        <f t="shared" si="688"/>
        <v>179.3</v>
      </c>
      <c r="I479" s="38">
        <f t="shared" si="698"/>
        <v>0</v>
      </c>
      <c r="J479" s="18">
        <f t="shared" si="689"/>
        <v>0</v>
      </c>
      <c r="K479" s="19">
        <v>0</v>
      </c>
      <c r="L479" s="19">
        <v>0</v>
      </c>
      <c r="M479" s="19">
        <v>0</v>
      </c>
      <c r="N479" s="19">
        <v>0</v>
      </c>
      <c r="O479" s="18">
        <f t="shared" si="690"/>
        <v>0</v>
      </c>
      <c r="P479" s="19"/>
      <c r="Q479" s="19">
        <v>0</v>
      </c>
      <c r="R479" s="19">
        <v>0</v>
      </c>
      <c r="S479" s="19">
        <v>0</v>
      </c>
      <c r="T479" s="18">
        <f t="shared" si="691"/>
        <v>179.3</v>
      </c>
      <c r="U479" s="19"/>
      <c r="V479" s="19">
        <v>0</v>
      </c>
      <c r="W479" s="19">
        <v>179.3</v>
      </c>
      <c r="X479" s="19">
        <v>0</v>
      </c>
      <c r="Y479" s="18">
        <f t="shared" ref="Y479:Y483" si="699">SUM(Z479:AC479)</f>
        <v>0</v>
      </c>
      <c r="Z479" s="19">
        <v>0</v>
      </c>
      <c r="AA479" s="19">
        <v>0</v>
      </c>
      <c r="AB479" s="19">
        <v>0</v>
      </c>
      <c r="AC479" s="19">
        <v>0</v>
      </c>
      <c r="AD479" s="18">
        <f t="shared" ref="AD479:AD483" si="700">SUM(AE479:AH479)</f>
        <v>0</v>
      </c>
      <c r="AE479" s="19">
        <v>0</v>
      </c>
      <c r="AF479" s="19">
        <v>0</v>
      </c>
      <c r="AG479" s="19">
        <v>0</v>
      </c>
      <c r="AH479" s="19">
        <v>0</v>
      </c>
      <c r="AI479" s="18">
        <f t="shared" ref="AI479:AI483" si="701">SUM(AJ479:AM479)</f>
        <v>0</v>
      </c>
      <c r="AJ479" s="19">
        <v>0</v>
      </c>
      <c r="AK479" s="19">
        <v>0</v>
      </c>
      <c r="AL479" s="19">
        <v>0</v>
      </c>
      <c r="AM479" s="19">
        <v>0</v>
      </c>
    </row>
    <row r="480" spans="1:39" s="2" customFormat="1" ht="78.75" outlineLevel="2" x14ac:dyDescent="0.25">
      <c r="A480" s="8" t="s">
        <v>836</v>
      </c>
      <c r="B480" s="54" t="s">
        <v>840</v>
      </c>
      <c r="C480" s="26" t="s">
        <v>32</v>
      </c>
      <c r="D480" s="26" t="s">
        <v>118</v>
      </c>
      <c r="E480" s="20">
        <f t="shared" si="686"/>
        <v>789.4</v>
      </c>
      <c r="F480" s="38">
        <f t="shared" si="697"/>
        <v>0</v>
      </c>
      <c r="G480" s="38">
        <f t="shared" si="687"/>
        <v>0</v>
      </c>
      <c r="H480" s="38">
        <f t="shared" si="688"/>
        <v>789.4</v>
      </c>
      <c r="I480" s="38">
        <f t="shared" si="698"/>
        <v>0</v>
      </c>
      <c r="J480" s="18">
        <f t="shared" ref="J480" si="702">SUM(K480:N480)</f>
        <v>0</v>
      </c>
      <c r="K480" s="19">
        <v>0</v>
      </c>
      <c r="L480" s="19">
        <v>0</v>
      </c>
      <c r="M480" s="19">
        <v>0</v>
      </c>
      <c r="N480" s="19">
        <v>0</v>
      </c>
      <c r="O480" s="18">
        <f t="shared" ref="O480" si="703">Q480+R480+S480</f>
        <v>0</v>
      </c>
      <c r="P480" s="19"/>
      <c r="Q480" s="19">
        <v>0</v>
      </c>
      <c r="R480" s="19">
        <v>0</v>
      </c>
      <c r="S480" s="19">
        <v>0</v>
      </c>
      <c r="T480" s="18">
        <f t="shared" si="691"/>
        <v>789.4</v>
      </c>
      <c r="U480" s="19"/>
      <c r="V480" s="19">
        <v>0</v>
      </c>
      <c r="W480" s="19">
        <v>789.4</v>
      </c>
      <c r="X480" s="19">
        <v>0</v>
      </c>
      <c r="Y480" s="18">
        <f t="shared" si="699"/>
        <v>0</v>
      </c>
      <c r="Z480" s="19">
        <v>0</v>
      </c>
      <c r="AA480" s="19">
        <v>0</v>
      </c>
      <c r="AB480" s="19">
        <v>0</v>
      </c>
      <c r="AC480" s="19">
        <v>0</v>
      </c>
      <c r="AD480" s="18">
        <f t="shared" si="700"/>
        <v>0</v>
      </c>
      <c r="AE480" s="19">
        <v>0</v>
      </c>
      <c r="AF480" s="19">
        <v>0</v>
      </c>
      <c r="AG480" s="19">
        <v>0</v>
      </c>
      <c r="AH480" s="19">
        <v>0</v>
      </c>
      <c r="AI480" s="18">
        <f t="shared" si="701"/>
        <v>0</v>
      </c>
      <c r="AJ480" s="19">
        <v>0</v>
      </c>
      <c r="AK480" s="19">
        <v>0</v>
      </c>
      <c r="AL480" s="19">
        <v>0</v>
      </c>
      <c r="AM480" s="19">
        <v>0</v>
      </c>
    </row>
    <row r="481" spans="1:39" s="2" customFormat="1" ht="47.25" outlineLevel="2" x14ac:dyDescent="0.25">
      <c r="A481" s="8" t="s">
        <v>839</v>
      </c>
      <c r="B481" s="54" t="s">
        <v>837</v>
      </c>
      <c r="C481" s="26" t="s">
        <v>32</v>
      </c>
      <c r="D481" s="26" t="s">
        <v>118</v>
      </c>
      <c r="E481" s="20">
        <f t="shared" si="686"/>
        <v>676.9</v>
      </c>
      <c r="F481" s="38">
        <f t="shared" si="697"/>
        <v>0</v>
      </c>
      <c r="G481" s="38">
        <f t="shared" si="687"/>
        <v>0</v>
      </c>
      <c r="H481" s="38">
        <f t="shared" si="688"/>
        <v>676.9</v>
      </c>
      <c r="I481" s="38">
        <f t="shared" si="698"/>
        <v>0</v>
      </c>
      <c r="J481" s="18">
        <f t="shared" ref="J481:J486" si="704">SUM(K481:N481)</f>
        <v>0</v>
      </c>
      <c r="K481" s="19">
        <v>0</v>
      </c>
      <c r="L481" s="19">
        <v>0</v>
      </c>
      <c r="M481" s="19">
        <v>0</v>
      </c>
      <c r="N481" s="19">
        <v>0</v>
      </c>
      <c r="O481" s="18">
        <f t="shared" ref="O481:O486" si="705">Q481+R481+S481</f>
        <v>0</v>
      </c>
      <c r="P481" s="19"/>
      <c r="Q481" s="19">
        <v>0</v>
      </c>
      <c r="R481" s="19">
        <v>0</v>
      </c>
      <c r="S481" s="19">
        <v>0</v>
      </c>
      <c r="T481" s="18">
        <f t="shared" si="691"/>
        <v>676.9</v>
      </c>
      <c r="U481" s="19"/>
      <c r="V481" s="19">
        <v>0</v>
      </c>
      <c r="W481" s="19">
        <v>676.9</v>
      </c>
      <c r="X481" s="19">
        <v>0</v>
      </c>
      <c r="Y481" s="18">
        <f t="shared" si="699"/>
        <v>0</v>
      </c>
      <c r="Z481" s="19">
        <v>0</v>
      </c>
      <c r="AA481" s="19">
        <v>0</v>
      </c>
      <c r="AB481" s="19">
        <v>0</v>
      </c>
      <c r="AC481" s="19">
        <v>0</v>
      </c>
      <c r="AD481" s="18">
        <f t="shared" si="700"/>
        <v>0</v>
      </c>
      <c r="AE481" s="19">
        <v>0</v>
      </c>
      <c r="AF481" s="19">
        <v>0</v>
      </c>
      <c r="AG481" s="19">
        <v>0</v>
      </c>
      <c r="AH481" s="19">
        <v>0</v>
      </c>
      <c r="AI481" s="18">
        <f t="shared" si="701"/>
        <v>0</v>
      </c>
      <c r="AJ481" s="19">
        <v>0</v>
      </c>
      <c r="AK481" s="19">
        <v>0</v>
      </c>
      <c r="AL481" s="19">
        <v>0</v>
      </c>
      <c r="AM481" s="19">
        <v>0</v>
      </c>
    </row>
    <row r="482" spans="1:39" s="2" customFormat="1" ht="66" outlineLevel="2" x14ac:dyDescent="0.25">
      <c r="A482" s="8" t="s">
        <v>949</v>
      </c>
      <c r="B482" s="129" t="s">
        <v>950</v>
      </c>
      <c r="C482" s="26" t="s">
        <v>32</v>
      </c>
      <c r="D482" s="26" t="s">
        <v>118</v>
      </c>
      <c r="E482" s="20">
        <f t="shared" ref="E482" si="706">SUM(F482:I482)</f>
        <v>52.1</v>
      </c>
      <c r="F482" s="38">
        <f t="shared" ref="F482" si="707">K482+P482+U482</f>
        <v>0</v>
      </c>
      <c r="G482" s="38">
        <f t="shared" ref="G482" si="708">L482+Q482+V482+AA482+AF482+AK482</f>
        <v>0</v>
      </c>
      <c r="H482" s="38">
        <f t="shared" ref="H482" si="709">M482+R482+W482+AB482+AG482+AL482</f>
        <v>52.1</v>
      </c>
      <c r="I482" s="38">
        <f t="shared" ref="I482" si="710">N482+S482+X482+AC482+AH482+AM482</f>
        <v>0</v>
      </c>
      <c r="J482" s="18">
        <f t="shared" si="704"/>
        <v>0</v>
      </c>
      <c r="K482" s="19">
        <v>0</v>
      </c>
      <c r="L482" s="19">
        <v>0</v>
      </c>
      <c r="M482" s="19">
        <v>0</v>
      </c>
      <c r="N482" s="19">
        <v>0</v>
      </c>
      <c r="O482" s="18">
        <f t="shared" si="705"/>
        <v>0</v>
      </c>
      <c r="P482" s="19"/>
      <c r="Q482" s="19">
        <v>0</v>
      </c>
      <c r="R482" s="19">
        <v>0</v>
      </c>
      <c r="S482" s="19">
        <v>0</v>
      </c>
      <c r="T482" s="18">
        <f t="shared" ref="T482" si="711">SUM(U482:X482)</f>
        <v>52.1</v>
      </c>
      <c r="U482" s="19"/>
      <c r="V482" s="19">
        <v>0</v>
      </c>
      <c r="W482" s="19">
        <v>52.1</v>
      </c>
      <c r="X482" s="19">
        <v>0</v>
      </c>
      <c r="Y482" s="18">
        <f t="shared" si="699"/>
        <v>0</v>
      </c>
      <c r="Z482" s="19">
        <v>0</v>
      </c>
      <c r="AA482" s="19">
        <v>0</v>
      </c>
      <c r="AB482" s="19">
        <v>0</v>
      </c>
      <c r="AC482" s="19">
        <v>0</v>
      </c>
      <c r="AD482" s="18">
        <f t="shared" si="700"/>
        <v>0</v>
      </c>
      <c r="AE482" s="19">
        <v>0</v>
      </c>
      <c r="AF482" s="19">
        <v>0</v>
      </c>
      <c r="AG482" s="19">
        <v>0</v>
      </c>
      <c r="AH482" s="19">
        <v>0</v>
      </c>
      <c r="AI482" s="18">
        <f t="shared" si="701"/>
        <v>0</v>
      </c>
      <c r="AJ482" s="19">
        <v>0</v>
      </c>
      <c r="AK482" s="19">
        <v>0</v>
      </c>
      <c r="AL482" s="19">
        <v>0</v>
      </c>
      <c r="AM482" s="19">
        <v>0</v>
      </c>
    </row>
    <row r="483" spans="1:39" s="2" customFormat="1" ht="99" outlineLevel="2" x14ac:dyDescent="0.25">
      <c r="A483" s="8" t="s">
        <v>952</v>
      </c>
      <c r="B483" s="130" t="s">
        <v>951</v>
      </c>
      <c r="C483" s="26" t="s">
        <v>32</v>
      </c>
      <c r="D483" s="26" t="s">
        <v>118</v>
      </c>
      <c r="E483" s="20">
        <f t="shared" ref="E483" si="712">SUM(F483:I483)</f>
        <v>350</v>
      </c>
      <c r="F483" s="38">
        <f t="shared" ref="F483" si="713">K483+P483+U483</f>
        <v>0</v>
      </c>
      <c r="G483" s="38">
        <f t="shared" ref="G483" si="714">L483+Q483+V483+AA483+AF483+AK483</f>
        <v>0</v>
      </c>
      <c r="H483" s="38">
        <f t="shared" ref="H483" si="715">M483+R483+W483+AB483+AG483+AL483</f>
        <v>350</v>
      </c>
      <c r="I483" s="38">
        <f t="shared" ref="I483" si="716">N483+S483+X483+AC483+AH483+AM483</f>
        <v>0</v>
      </c>
      <c r="J483" s="18">
        <f t="shared" si="704"/>
        <v>0</v>
      </c>
      <c r="K483" s="19">
        <v>0</v>
      </c>
      <c r="L483" s="19">
        <v>0</v>
      </c>
      <c r="M483" s="19">
        <v>0</v>
      </c>
      <c r="N483" s="19">
        <v>0</v>
      </c>
      <c r="O483" s="18">
        <f t="shared" si="705"/>
        <v>0</v>
      </c>
      <c r="P483" s="19"/>
      <c r="Q483" s="19">
        <v>0</v>
      </c>
      <c r="R483" s="19">
        <v>0</v>
      </c>
      <c r="S483" s="19">
        <v>0</v>
      </c>
      <c r="T483" s="18">
        <f t="shared" ref="T483" si="717">SUM(U483:X483)</f>
        <v>350</v>
      </c>
      <c r="U483" s="19"/>
      <c r="V483" s="19">
        <v>0</v>
      </c>
      <c r="W483" s="19">
        <v>350</v>
      </c>
      <c r="X483" s="19">
        <v>0</v>
      </c>
      <c r="Y483" s="18">
        <f t="shared" si="699"/>
        <v>0</v>
      </c>
      <c r="Z483" s="19">
        <v>0</v>
      </c>
      <c r="AA483" s="19">
        <v>0</v>
      </c>
      <c r="AB483" s="19">
        <v>0</v>
      </c>
      <c r="AC483" s="19">
        <v>0</v>
      </c>
      <c r="AD483" s="18">
        <f t="shared" si="700"/>
        <v>0</v>
      </c>
      <c r="AE483" s="19">
        <v>0</v>
      </c>
      <c r="AF483" s="19">
        <v>0</v>
      </c>
      <c r="AG483" s="19">
        <v>0</v>
      </c>
      <c r="AH483" s="19">
        <v>0</v>
      </c>
      <c r="AI483" s="18">
        <f t="shared" si="701"/>
        <v>0</v>
      </c>
      <c r="AJ483" s="19">
        <v>0</v>
      </c>
      <c r="AK483" s="19">
        <v>0</v>
      </c>
      <c r="AL483" s="19">
        <v>0</v>
      </c>
      <c r="AM483" s="19">
        <v>0</v>
      </c>
    </row>
    <row r="484" spans="1:39" s="2" customFormat="1" ht="57" customHeight="1" outlineLevel="2" x14ac:dyDescent="0.25">
      <c r="A484" s="8" t="s">
        <v>1058</v>
      </c>
      <c r="B484" s="130" t="s">
        <v>1059</v>
      </c>
      <c r="C484" s="26" t="s">
        <v>32</v>
      </c>
      <c r="D484" s="26" t="s">
        <v>118</v>
      </c>
      <c r="E484" s="20">
        <f t="shared" ref="E484" si="718">SUM(F484:I484)</f>
        <v>780</v>
      </c>
      <c r="F484" s="38">
        <f t="shared" ref="F484" si="719">K484+P484+U484</f>
        <v>0</v>
      </c>
      <c r="G484" s="38">
        <f t="shared" ref="G484" si="720">L484+Q484+V484+AA484+AF484+AK484</f>
        <v>0</v>
      </c>
      <c r="H484" s="38">
        <f t="shared" ref="H484" si="721">M484+R484+W484+AB484+AG484+AL484</f>
        <v>780</v>
      </c>
      <c r="I484" s="38">
        <f t="shared" ref="I484" si="722">N484+S484+X484+AC484+AH484+AM484</f>
        <v>0</v>
      </c>
      <c r="J484" s="18">
        <f t="shared" si="704"/>
        <v>0</v>
      </c>
      <c r="K484" s="19">
        <v>0</v>
      </c>
      <c r="L484" s="19">
        <v>0</v>
      </c>
      <c r="M484" s="19">
        <v>0</v>
      </c>
      <c r="N484" s="19">
        <v>0</v>
      </c>
      <c r="O484" s="18">
        <f t="shared" si="705"/>
        <v>0</v>
      </c>
      <c r="P484" s="19"/>
      <c r="Q484" s="19">
        <v>0</v>
      </c>
      <c r="R484" s="19">
        <v>0</v>
      </c>
      <c r="S484" s="19">
        <v>0</v>
      </c>
      <c r="T484" s="18">
        <f t="shared" ref="T484" si="723">SUM(U484:X484)</f>
        <v>0</v>
      </c>
      <c r="U484" s="19"/>
      <c r="V484" s="19">
        <v>0</v>
      </c>
      <c r="W484" s="19">
        <v>0</v>
      </c>
      <c r="X484" s="19">
        <v>0</v>
      </c>
      <c r="Y484" s="18">
        <f t="shared" ref="Y484" si="724">SUM(Z484:AC484)</f>
        <v>780</v>
      </c>
      <c r="Z484" s="19">
        <v>0</v>
      </c>
      <c r="AA484" s="19">
        <v>0</v>
      </c>
      <c r="AB484" s="19">
        <v>780</v>
      </c>
      <c r="AC484" s="19">
        <v>0</v>
      </c>
      <c r="AD484" s="18">
        <f t="shared" ref="AD484" si="725">SUM(AE484:AH484)</f>
        <v>0</v>
      </c>
      <c r="AE484" s="19">
        <v>0</v>
      </c>
      <c r="AF484" s="19">
        <v>0</v>
      </c>
      <c r="AG484" s="19">
        <v>0</v>
      </c>
      <c r="AH484" s="19">
        <v>0</v>
      </c>
      <c r="AI484" s="18">
        <f t="shared" ref="AI484" si="726">SUM(AJ484:AM484)</f>
        <v>0</v>
      </c>
      <c r="AJ484" s="19">
        <v>0</v>
      </c>
      <c r="AK484" s="19">
        <v>0</v>
      </c>
      <c r="AL484" s="19">
        <v>0</v>
      </c>
      <c r="AM484" s="19">
        <v>0</v>
      </c>
    </row>
    <row r="485" spans="1:39" s="2" customFormat="1" ht="70.5" customHeight="1" outlineLevel="2" x14ac:dyDescent="0.25">
      <c r="A485" s="8" t="s">
        <v>1060</v>
      </c>
      <c r="B485" s="130" t="s">
        <v>1061</v>
      </c>
      <c r="C485" s="26" t="s">
        <v>32</v>
      </c>
      <c r="D485" s="26" t="s">
        <v>118</v>
      </c>
      <c r="E485" s="20">
        <f t="shared" ref="E485" si="727">SUM(F485:I485)</f>
        <v>15632.4</v>
      </c>
      <c r="F485" s="38">
        <f t="shared" ref="F485" si="728">K485+P485+U485</f>
        <v>0</v>
      </c>
      <c r="G485" s="38">
        <f t="shared" ref="G485" si="729">L485+Q485+V485+AA485+AF485+AK485</f>
        <v>0</v>
      </c>
      <c r="H485" s="38">
        <f t="shared" ref="H485" si="730">M485+R485+W485+AB485+AG485+AL485</f>
        <v>15632.4</v>
      </c>
      <c r="I485" s="38">
        <f t="shared" ref="I485" si="731">N485+S485+X485+AC485+AH485+AM485</f>
        <v>0</v>
      </c>
      <c r="J485" s="18">
        <f t="shared" si="704"/>
        <v>0</v>
      </c>
      <c r="K485" s="19">
        <v>0</v>
      </c>
      <c r="L485" s="19">
        <v>0</v>
      </c>
      <c r="M485" s="19">
        <v>0</v>
      </c>
      <c r="N485" s="19">
        <v>0</v>
      </c>
      <c r="O485" s="18">
        <f t="shared" si="705"/>
        <v>0</v>
      </c>
      <c r="P485" s="19"/>
      <c r="Q485" s="19">
        <v>0</v>
      </c>
      <c r="R485" s="19">
        <v>0</v>
      </c>
      <c r="S485" s="19">
        <v>0</v>
      </c>
      <c r="T485" s="18">
        <f t="shared" ref="T485" si="732">SUM(U485:X485)</f>
        <v>0</v>
      </c>
      <c r="U485" s="19"/>
      <c r="V485" s="19">
        <v>0</v>
      </c>
      <c r="W485" s="19">
        <v>0</v>
      </c>
      <c r="X485" s="19">
        <v>0</v>
      </c>
      <c r="Y485" s="18">
        <f t="shared" ref="Y485" si="733">SUM(Z485:AC485)</f>
        <v>15632.4</v>
      </c>
      <c r="Z485" s="19">
        <v>0</v>
      </c>
      <c r="AA485" s="19">
        <v>0</v>
      </c>
      <c r="AB485" s="19">
        <v>15632.4</v>
      </c>
      <c r="AC485" s="19">
        <v>0</v>
      </c>
      <c r="AD485" s="18">
        <f t="shared" ref="AD485" si="734">SUM(AE485:AH485)</f>
        <v>0</v>
      </c>
      <c r="AE485" s="19">
        <v>0</v>
      </c>
      <c r="AF485" s="19">
        <v>0</v>
      </c>
      <c r="AG485" s="19">
        <v>0</v>
      </c>
      <c r="AH485" s="19">
        <v>0</v>
      </c>
      <c r="AI485" s="18">
        <f t="shared" ref="AI485" si="735">SUM(AJ485:AM485)</f>
        <v>0</v>
      </c>
      <c r="AJ485" s="19">
        <v>0</v>
      </c>
      <c r="AK485" s="19">
        <v>0</v>
      </c>
      <c r="AL485" s="19">
        <v>0</v>
      </c>
      <c r="AM485" s="19">
        <v>0</v>
      </c>
    </row>
    <row r="486" spans="1:39" s="2" customFormat="1" ht="57" customHeight="1" outlineLevel="2" x14ac:dyDescent="0.25">
      <c r="A486" s="8" t="s">
        <v>1062</v>
      </c>
      <c r="B486" s="130" t="s">
        <v>1063</v>
      </c>
      <c r="C486" s="26" t="s">
        <v>32</v>
      </c>
      <c r="D486" s="26" t="s">
        <v>118</v>
      </c>
      <c r="E486" s="20">
        <f t="shared" ref="E486" si="736">SUM(F486:I486)</f>
        <v>970</v>
      </c>
      <c r="F486" s="38">
        <f t="shared" ref="F486" si="737">K486+P486+U486</f>
        <v>0</v>
      </c>
      <c r="G486" s="38">
        <f t="shared" ref="G486" si="738">L486+Q486+V486+AA486+AF486+AK486</f>
        <v>0</v>
      </c>
      <c r="H486" s="38">
        <f t="shared" ref="H486" si="739">M486+R486+W486+AB486+AG486+AL486</f>
        <v>970</v>
      </c>
      <c r="I486" s="38">
        <f t="shared" ref="I486" si="740">N486+S486+X486+AC486+AH486+AM486</f>
        <v>0</v>
      </c>
      <c r="J486" s="18">
        <f t="shared" si="704"/>
        <v>0</v>
      </c>
      <c r="K486" s="19">
        <v>0</v>
      </c>
      <c r="L486" s="19">
        <v>0</v>
      </c>
      <c r="M486" s="19">
        <v>0</v>
      </c>
      <c r="N486" s="19">
        <v>0</v>
      </c>
      <c r="O486" s="18">
        <f t="shared" si="705"/>
        <v>0</v>
      </c>
      <c r="P486" s="19"/>
      <c r="Q486" s="19">
        <v>0</v>
      </c>
      <c r="R486" s="19">
        <v>0</v>
      </c>
      <c r="S486" s="19">
        <v>0</v>
      </c>
      <c r="T486" s="18">
        <f t="shared" ref="T486" si="741">SUM(U486:X486)</f>
        <v>0</v>
      </c>
      <c r="U486" s="19"/>
      <c r="V486" s="19">
        <v>0</v>
      </c>
      <c r="W486" s="19">
        <v>0</v>
      </c>
      <c r="X486" s="19">
        <v>0</v>
      </c>
      <c r="Y486" s="18">
        <f t="shared" ref="Y486" si="742">SUM(Z486:AC486)</f>
        <v>970</v>
      </c>
      <c r="Z486" s="19">
        <v>0</v>
      </c>
      <c r="AA486" s="19">
        <v>0</v>
      </c>
      <c r="AB486" s="19">
        <v>970</v>
      </c>
      <c r="AC486" s="19">
        <v>0</v>
      </c>
      <c r="AD486" s="18">
        <f t="shared" ref="AD486" si="743">SUM(AE486:AH486)</f>
        <v>0</v>
      </c>
      <c r="AE486" s="19">
        <v>0</v>
      </c>
      <c r="AF486" s="19">
        <v>0</v>
      </c>
      <c r="AG486" s="19">
        <v>0</v>
      </c>
      <c r="AH486" s="19">
        <v>0</v>
      </c>
      <c r="AI486" s="18">
        <f t="shared" ref="AI486" si="744">SUM(AJ486:AM486)</f>
        <v>0</v>
      </c>
      <c r="AJ486" s="19">
        <v>0</v>
      </c>
      <c r="AK486" s="19">
        <v>0</v>
      </c>
      <c r="AL486" s="19">
        <v>0</v>
      </c>
      <c r="AM486" s="19">
        <v>0</v>
      </c>
    </row>
    <row r="487" spans="1:39" s="2" customFormat="1" ht="100.5" customHeight="1" outlineLevel="2" x14ac:dyDescent="0.25">
      <c r="A487" s="8" t="s">
        <v>1135</v>
      </c>
      <c r="B487" s="130" t="s">
        <v>951</v>
      </c>
      <c r="C487" s="26" t="s">
        <v>32</v>
      </c>
      <c r="D487" s="26" t="s">
        <v>118</v>
      </c>
      <c r="E487" s="20">
        <f t="shared" ref="E487" si="745">SUM(F487:I487)</f>
        <v>401.8</v>
      </c>
      <c r="F487" s="38">
        <f t="shared" ref="F487" si="746">K487+P487+U487</f>
        <v>0</v>
      </c>
      <c r="G487" s="38">
        <f t="shared" ref="G487" si="747">L487+Q487+V487+AA487+AF487+AK487</f>
        <v>0</v>
      </c>
      <c r="H487" s="38">
        <f t="shared" ref="H487" si="748">M487+R487+W487+AB487+AG487+AL487</f>
        <v>401.8</v>
      </c>
      <c r="I487" s="38">
        <f t="shared" ref="I487" si="749">N487+S487+X487+AC487+AH487+AM487</f>
        <v>0</v>
      </c>
      <c r="J487" s="18">
        <f t="shared" ref="J487" si="750">SUM(K487:N487)</f>
        <v>0</v>
      </c>
      <c r="K487" s="19">
        <v>0</v>
      </c>
      <c r="L487" s="19">
        <v>0</v>
      </c>
      <c r="M487" s="19">
        <v>0</v>
      </c>
      <c r="N487" s="19">
        <v>0</v>
      </c>
      <c r="O487" s="18">
        <f t="shared" ref="O487" si="751">Q487+R487+S487</f>
        <v>0</v>
      </c>
      <c r="P487" s="19"/>
      <c r="Q487" s="19">
        <v>0</v>
      </c>
      <c r="R487" s="19">
        <v>0</v>
      </c>
      <c r="S487" s="19">
        <v>0</v>
      </c>
      <c r="T487" s="18">
        <f t="shared" ref="T487" si="752">SUM(U487:X487)</f>
        <v>0</v>
      </c>
      <c r="U487" s="19"/>
      <c r="V487" s="19">
        <v>0</v>
      </c>
      <c r="W487" s="19">
        <v>0</v>
      </c>
      <c r="X487" s="19">
        <v>0</v>
      </c>
      <c r="Y487" s="18">
        <f t="shared" ref="Y487" si="753">SUM(Z487:AC487)</f>
        <v>401.8</v>
      </c>
      <c r="Z487" s="19">
        <v>0</v>
      </c>
      <c r="AA487" s="19">
        <v>0</v>
      </c>
      <c r="AB487" s="19">
        <v>401.8</v>
      </c>
      <c r="AC487" s="19">
        <v>0</v>
      </c>
      <c r="AD487" s="18">
        <f t="shared" ref="AD487" si="754">SUM(AE487:AH487)</f>
        <v>0</v>
      </c>
      <c r="AE487" s="19">
        <v>0</v>
      </c>
      <c r="AF487" s="19">
        <v>0</v>
      </c>
      <c r="AG487" s="19">
        <v>0</v>
      </c>
      <c r="AH487" s="19">
        <v>0</v>
      </c>
      <c r="AI487" s="18">
        <f t="shared" ref="AI487" si="755">SUM(AJ487:AM487)</f>
        <v>0</v>
      </c>
      <c r="AJ487" s="19">
        <v>0</v>
      </c>
      <c r="AK487" s="19">
        <v>0</v>
      </c>
      <c r="AL487" s="19">
        <v>0</v>
      </c>
      <c r="AM487" s="19">
        <v>0</v>
      </c>
    </row>
    <row r="488" spans="1:39" s="2" customFormat="1" ht="63" customHeight="1" outlineLevel="2" x14ac:dyDescent="0.25">
      <c r="A488" s="8" t="s">
        <v>1137</v>
      </c>
      <c r="B488" s="130" t="s">
        <v>1136</v>
      </c>
      <c r="C488" s="26" t="s">
        <v>32</v>
      </c>
      <c r="D488" s="26" t="s">
        <v>118</v>
      </c>
      <c r="E488" s="20">
        <f t="shared" ref="E488" si="756">SUM(F488:I488)</f>
        <v>17648.8</v>
      </c>
      <c r="F488" s="38">
        <f t="shared" ref="F488" si="757">K488+P488+U488</f>
        <v>0</v>
      </c>
      <c r="G488" s="38">
        <f t="shared" ref="G488" si="758">L488+Q488+V488+AA488+AF488+AK488</f>
        <v>0</v>
      </c>
      <c r="H488" s="38">
        <f t="shared" ref="H488" si="759">M488+R488+W488+AB488+AG488+AL488</f>
        <v>17648.8</v>
      </c>
      <c r="I488" s="38">
        <f t="shared" ref="I488" si="760">N488+S488+X488+AC488+AH488+AM488</f>
        <v>0</v>
      </c>
      <c r="J488" s="18">
        <f t="shared" ref="J488" si="761">SUM(K488:N488)</f>
        <v>0</v>
      </c>
      <c r="K488" s="19">
        <v>0</v>
      </c>
      <c r="L488" s="19">
        <v>0</v>
      </c>
      <c r="M488" s="19">
        <v>0</v>
      </c>
      <c r="N488" s="19">
        <v>0</v>
      </c>
      <c r="O488" s="18">
        <f t="shared" ref="O488" si="762">Q488+R488+S488</f>
        <v>0</v>
      </c>
      <c r="P488" s="19"/>
      <c r="Q488" s="19">
        <v>0</v>
      </c>
      <c r="R488" s="19">
        <v>0</v>
      </c>
      <c r="S488" s="19">
        <v>0</v>
      </c>
      <c r="T488" s="18">
        <f t="shared" ref="T488" si="763">SUM(U488:X488)</f>
        <v>0</v>
      </c>
      <c r="U488" s="19"/>
      <c r="V488" s="19">
        <v>0</v>
      </c>
      <c r="W488" s="19">
        <v>0</v>
      </c>
      <c r="X488" s="19">
        <v>0</v>
      </c>
      <c r="Y488" s="18">
        <f t="shared" ref="Y488" si="764">SUM(Z488:AC488)</f>
        <v>0</v>
      </c>
      <c r="Z488" s="19">
        <v>0</v>
      </c>
      <c r="AA488" s="19">
        <v>0</v>
      </c>
      <c r="AB488" s="19">
        <v>0</v>
      </c>
      <c r="AC488" s="19">
        <v>0</v>
      </c>
      <c r="AD488" s="18">
        <f t="shared" ref="AD488" si="765">SUM(AE488:AH488)</f>
        <v>17648.8</v>
      </c>
      <c r="AE488" s="19">
        <v>0</v>
      </c>
      <c r="AF488" s="19">
        <v>0</v>
      </c>
      <c r="AG488" s="45">
        <f>17648.8</f>
        <v>17648.8</v>
      </c>
      <c r="AH488" s="19">
        <v>0</v>
      </c>
      <c r="AI488" s="18">
        <f t="shared" ref="AI488" si="766">SUM(AJ488:AM488)</f>
        <v>0</v>
      </c>
      <c r="AJ488" s="19">
        <v>0</v>
      </c>
      <c r="AK488" s="19">
        <v>0</v>
      </c>
      <c r="AL488" s="19">
        <v>0</v>
      </c>
      <c r="AM488" s="19">
        <v>0</v>
      </c>
    </row>
    <row r="489" spans="1:39" s="2" customFormat="1" ht="37.5" customHeight="1" outlineLevel="1" x14ac:dyDescent="0.25">
      <c r="A489" s="165" t="s">
        <v>381</v>
      </c>
      <c r="B489" s="204" t="s">
        <v>533</v>
      </c>
      <c r="C489" s="201"/>
      <c r="D489" s="202"/>
      <c r="E489" s="20">
        <f>SUM(E490:E491)</f>
        <v>6180.7000000000007</v>
      </c>
      <c r="F489" s="20">
        <f t="shared" ref="F489:AM489" si="767">SUM(F490:F491)</f>
        <v>0</v>
      </c>
      <c r="G489" s="20">
        <f t="shared" si="767"/>
        <v>0</v>
      </c>
      <c r="H489" s="20">
        <f t="shared" si="767"/>
        <v>6180.7000000000007</v>
      </c>
      <c r="I489" s="20">
        <f t="shared" si="767"/>
        <v>0</v>
      </c>
      <c r="J489" s="20">
        <f t="shared" si="767"/>
        <v>0</v>
      </c>
      <c r="K489" s="20">
        <f t="shared" si="767"/>
        <v>0</v>
      </c>
      <c r="L489" s="20">
        <f t="shared" si="767"/>
        <v>0</v>
      </c>
      <c r="M489" s="20">
        <f t="shared" si="767"/>
        <v>0</v>
      </c>
      <c r="N489" s="20">
        <f t="shared" si="767"/>
        <v>0</v>
      </c>
      <c r="O489" s="20">
        <f t="shared" si="767"/>
        <v>1408</v>
      </c>
      <c r="P489" s="20">
        <f t="shared" si="767"/>
        <v>0</v>
      </c>
      <c r="Q489" s="20">
        <f t="shared" si="767"/>
        <v>0</v>
      </c>
      <c r="R489" s="20">
        <f t="shared" si="767"/>
        <v>1408</v>
      </c>
      <c r="S489" s="20">
        <f t="shared" si="767"/>
        <v>0</v>
      </c>
      <c r="T489" s="20">
        <f t="shared" si="767"/>
        <v>2845.5</v>
      </c>
      <c r="U489" s="20">
        <f t="shared" si="767"/>
        <v>0</v>
      </c>
      <c r="V489" s="20">
        <f t="shared" si="767"/>
        <v>0</v>
      </c>
      <c r="W489" s="20">
        <f t="shared" si="767"/>
        <v>2845.5</v>
      </c>
      <c r="X489" s="20">
        <f t="shared" si="767"/>
        <v>0</v>
      </c>
      <c r="Y489" s="20">
        <f t="shared" si="767"/>
        <v>1927.2</v>
      </c>
      <c r="Z489" s="20">
        <f t="shared" si="767"/>
        <v>0</v>
      </c>
      <c r="AA489" s="20">
        <f t="shared" si="767"/>
        <v>0</v>
      </c>
      <c r="AB489" s="20">
        <f t="shared" si="767"/>
        <v>1927.2</v>
      </c>
      <c r="AC489" s="20">
        <f t="shared" si="767"/>
        <v>0</v>
      </c>
      <c r="AD489" s="20">
        <f t="shared" si="767"/>
        <v>0</v>
      </c>
      <c r="AE489" s="20">
        <f t="shared" si="767"/>
        <v>0</v>
      </c>
      <c r="AF489" s="20">
        <f t="shared" si="767"/>
        <v>0</v>
      </c>
      <c r="AG489" s="20">
        <f t="shared" si="767"/>
        <v>0</v>
      </c>
      <c r="AH489" s="20">
        <f t="shared" si="767"/>
        <v>0</v>
      </c>
      <c r="AI489" s="20">
        <f t="shared" si="767"/>
        <v>0</v>
      </c>
      <c r="AJ489" s="20">
        <f t="shared" si="767"/>
        <v>0</v>
      </c>
      <c r="AK489" s="20">
        <f t="shared" si="767"/>
        <v>0</v>
      </c>
      <c r="AL489" s="20">
        <f t="shared" si="767"/>
        <v>0</v>
      </c>
      <c r="AM489" s="20">
        <f t="shared" si="767"/>
        <v>0</v>
      </c>
    </row>
    <row r="490" spans="1:39" s="2" customFormat="1" ht="31.5" outlineLevel="3" x14ac:dyDescent="0.25">
      <c r="A490" s="8" t="s">
        <v>382</v>
      </c>
      <c r="B490" s="33" t="s">
        <v>383</v>
      </c>
      <c r="C490" s="26" t="s">
        <v>32</v>
      </c>
      <c r="D490" s="26" t="s">
        <v>8</v>
      </c>
      <c r="E490" s="20">
        <f>SUM(F490:I490)</f>
        <v>2133.6</v>
      </c>
      <c r="F490" s="38">
        <f>K490+P490+U490</f>
        <v>0</v>
      </c>
      <c r="G490" s="38">
        <f t="shared" ref="G490:I491" si="768">L490+Q490+V490+AA490+AF490+AK490</f>
        <v>0</v>
      </c>
      <c r="H490" s="38">
        <f t="shared" si="768"/>
        <v>2133.6</v>
      </c>
      <c r="I490" s="38">
        <f t="shared" si="768"/>
        <v>0</v>
      </c>
      <c r="J490" s="18">
        <f>SUM(K490:N490)</f>
        <v>0</v>
      </c>
      <c r="K490" s="19">
        <v>0</v>
      </c>
      <c r="L490" s="19">
        <v>0</v>
      </c>
      <c r="M490" s="19">
        <v>0</v>
      </c>
      <c r="N490" s="19">
        <v>0</v>
      </c>
      <c r="O490" s="20">
        <f>Q490+R490+S490</f>
        <v>1408</v>
      </c>
      <c r="P490" s="19">
        <v>0</v>
      </c>
      <c r="Q490" s="19">
        <v>0</v>
      </c>
      <c r="R490" s="19">
        <v>1408</v>
      </c>
      <c r="S490" s="19">
        <v>0</v>
      </c>
      <c r="T490" s="18">
        <f>SUM(U490:X490)</f>
        <v>725.6</v>
      </c>
      <c r="U490" s="19">
        <v>0</v>
      </c>
      <c r="V490" s="19">
        <v>0</v>
      </c>
      <c r="W490" s="19">
        <v>725.6</v>
      </c>
      <c r="X490" s="19">
        <v>0</v>
      </c>
      <c r="Y490" s="18">
        <f>SUM(Z490:AC490)</f>
        <v>0</v>
      </c>
      <c r="Z490" s="19">
        <v>0</v>
      </c>
      <c r="AA490" s="19">
        <v>0</v>
      </c>
      <c r="AB490" s="19">
        <v>0</v>
      </c>
      <c r="AC490" s="19">
        <v>0</v>
      </c>
      <c r="AD490" s="18">
        <f>SUM(AE490:AH490)</f>
        <v>0</v>
      </c>
      <c r="AE490" s="19">
        <v>0</v>
      </c>
      <c r="AF490" s="19">
        <v>0</v>
      </c>
      <c r="AG490" s="19">
        <v>0</v>
      </c>
      <c r="AH490" s="19">
        <v>0</v>
      </c>
      <c r="AI490" s="18">
        <f>SUM(AJ490:AM490)</f>
        <v>0</v>
      </c>
      <c r="AJ490" s="19">
        <v>0</v>
      </c>
      <c r="AK490" s="19">
        <v>0</v>
      </c>
      <c r="AL490" s="19">
        <v>0</v>
      </c>
      <c r="AM490" s="19">
        <v>0</v>
      </c>
    </row>
    <row r="491" spans="1:39" s="2" customFormat="1" ht="47.25" outlineLevel="3" x14ac:dyDescent="0.25">
      <c r="A491" s="8" t="s">
        <v>502</v>
      </c>
      <c r="B491" s="33" t="s">
        <v>503</v>
      </c>
      <c r="C491" s="26" t="s">
        <v>32</v>
      </c>
      <c r="D491" s="26" t="s">
        <v>8</v>
      </c>
      <c r="E491" s="20">
        <f>SUM(F491:I491)</f>
        <v>4047.1000000000004</v>
      </c>
      <c r="F491" s="38">
        <f>K491+P491+U491</f>
        <v>0</v>
      </c>
      <c r="G491" s="38">
        <f t="shared" si="768"/>
        <v>0</v>
      </c>
      <c r="H491" s="38">
        <f t="shared" si="768"/>
        <v>4047.1000000000004</v>
      </c>
      <c r="I491" s="38">
        <f t="shared" si="768"/>
        <v>0</v>
      </c>
      <c r="J491" s="18">
        <f>SUM(K491:N491)</f>
        <v>0</v>
      </c>
      <c r="K491" s="19">
        <v>0</v>
      </c>
      <c r="L491" s="19">
        <v>0</v>
      </c>
      <c r="M491" s="19">
        <v>0</v>
      </c>
      <c r="N491" s="19">
        <v>0</v>
      </c>
      <c r="O491" s="20">
        <f>Q491+R491+S491</f>
        <v>0</v>
      </c>
      <c r="P491" s="19">
        <v>0</v>
      </c>
      <c r="Q491" s="19">
        <v>0</v>
      </c>
      <c r="R491" s="19">
        <f>1424.4+1150.6-2575</f>
        <v>0</v>
      </c>
      <c r="S491" s="19">
        <v>0</v>
      </c>
      <c r="T491" s="18">
        <f>SUM(U491:X491)</f>
        <v>2119.9</v>
      </c>
      <c r="U491" s="19">
        <v>0</v>
      </c>
      <c r="V491" s="19">
        <v>0</v>
      </c>
      <c r="W491" s="19">
        <f>2575-455.1</f>
        <v>2119.9</v>
      </c>
      <c r="X491" s="19">
        <v>0</v>
      </c>
      <c r="Y491" s="18">
        <f>SUM(Z491:AC491)</f>
        <v>1927.2</v>
      </c>
      <c r="Z491" s="19">
        <v>0</v>
      </c>
      <c r="AA491" s="19">
        <v>0</v>
      </c>
      <c r="AB491" s="19">
        <v>1927.2</v>
      </c>
      <c r="AC491" s="19">
        <v>0</v>
      </c>
      <c r="AD491" s="18">
        <f>SUM(AE491:AH491)</f>
        <v>0</v>
      </c>
      <c r="AE491" s="19">
        <v>0</v>
      </c>
      <c r="AF491" s="19">
        <v>0</v>
      </c>
      <c r="AG491" s="19">
        <v>0</v>
      </c>
      <c r="AH491" s="19">
        <v>0</v>
      </c>
      <c r="AI491" s="18">
        <f>SUM(AJ491:AM491)</f>
        <v>0</v>
      </c>
      <c r="AJ491" s="19">
        <v>0</v>
      </c>
      <c r="AK491" s="19">
        <v>0</v>
      </c>
      <c r="AL491" s="19">
        <v>0</v>
      </c>
      <c r="AM491" s="19">
        <v>0</v>
      </c>
    </row>
    <row r="492" spans="1:39" s="2" customFormat="1" ht="42" customHeight="1" outlineLevel="1" x14ac:dyDescent="0.25">
      <c r="A492" s="165" t="s">
        <v>508</v>
      </c>
      <c r="B492" s="204" t="s">
        <v>688</v>
      </c>
      <c r="C492" s="201"/>
      <c r="D492" s="202"/>
      <c r="E492" s="20">
        <f>SUM(E493)</f>
        <v>475.8</v>
      </c>
      <c r="F492" s="20">
        <f t="shared" ref="F492:AM494" si="769">SUM(F493)</f>
        <v>0</v>
      </c>
      <c r="G492" s="20">
        <f t="shared" si="769"/>
        <v>0</v>
      </c>
      <c r="H492" s="20">
        <f t="shared" si="769"/>
        <v>475.8</v>
      </c>
      <c r="I492" s="20">
        <f t="shared" si="769"/>
        <v>0</v>
      </c>
      <c r="J492" s="20">
        <f t="shared" si="769"/>
        <v>0</v>
      </c>
      <c r="K492" s="20">
        <f t="shared" si="769"/>
        <v>0</v>
      </c>
      <c r="L492" s="20">
        <f t="shared" si="769"/>
        <v>0</v>
      </c>
      <c r="M492" s="20">
        <f t="shared" si="769"/>
        <v>0</v>
      </c>
      <c r="N492" s="20">
        <f t="shared" si="769"/>
        <v>0</v>
      </c>
      <c r="O492" s="20">
        <f t="shared" si="769"/>
        <v>475.8</v>
      </c>
      <c r="P492" s="20">
        <f t="shared" si="769"/>
        <v>0</v>
      </c>
      <c r="Q492" s="20">
        <f t="shared" si="769"/>
        <v>0</v>
      </c>
      <c r="R492" s="20">
        <f t="shared" si="769"/>
        <v>475.8</v>
      </c>
      <c r="S492" s="20">
        <f t="shared" si="769"/>
        <v>0</v>
      </c>
      <c r="T492" s="20">
        <f t="shared" si="769"/>
        <v>0</v>
      </c>
      <c r="U492" s="20">
        <f t="shared" si="769"/>
        <v>0</v>
      </c>
      <c r="V492" s="20">
        <f t="shared" si="769"/>
        <v>0</v>
      </c>
      <c r="W492" s="20">
        <f t="shared" si="769"/>
        <v>0</v>
      </c>
      <c r="X492" s="20">
        <f t="shared" si="769"/>
        <v>0</v>
      </c>
      <c r="Y492" s="20">
        <f t="shared" si="769"/>
        <v>0</v>
      </c>
      <c r="Z492" s="20">
        <f t="shared" si="769"/>
        <v>0</v>
      </c>
      <c r="AA492" s="20">
        <f t="shared" si="769"/>
        <v>0</v>
      </c>
      <c r="AB492" s="20">
        <f t="shared" si="769"/>
        <v>0</v>
      </c>
      <c r="AC492" s="20">
        <f t="shared" si="769"/>
        <v>0</v>
      </c>
      <c r="AD492" s="20">
        <f t="shared" si="769"/>
        <v>0</v>
      </c>
      <c r="AE492" s="20">
        <f t="shared" si="769"/>
        <v>0</v>
      </c>
      <c r="AF492" s="20">
        <f t="shared" si="769"/>
        <v>0</v>
      </c>
      <c r="AG492" s="20">
        <f t="shared" si="769"/>
        <v>0</v>
      </c>
      <c r="AH492" s="20">
        <f t="shared" si="769"/>
        <v>0</v>
      </c>
      <c r="AI492" s="20">
        <f t="shared" si="769"/>
        <v>0</v>
      </c>
      <c r="AJ492" s="20">
        <f t="shared" si="769"/>
        <v>0</v>
      </c>
      <c r="AK492" s="20">
        <f t="shared" si="769"/>
        <v>0</v>
      </c>
      <c r="AL492" s="20">
        <f t="shared" si="769"/>
        <v>0</v>
      </c>
      <c r="AM492" s="20">
        <f t="shared" si="769"/>
        <v>0</v>
      </c>
    </row>
    <row r="493" spans="1:39" s="2" customFormat="1" ht="47.25" outlineLevel="3" x14ac:dyDescent="0.25">
      <c r="A493" s="8" t="s">
        <v>509</v>
      </c>
      <c r="B493" s="34" t="s">
        <v>421</v>
      </c>
      <c r="C493" s="26" t="s">
        <v>32</v>
      </c>
      <c r="D493" s="26" t="s">
        <v>118</v>
      </c>
      <c r="E493" s="20">
        <f>SUM(F493:I493)</f>
        <v>475.8</v>
      </c>
      <c r="F493" s="38">
        <f>K493+P493+U493</f>
        <v>0</v>
      </c>
      <c r="G493" s="38">
        <f>L493+Q493+V493+AA493+AF493+AK493</f>
        <v>0</v>
      </c>
      <c r="H493" s="38">
        <f>M493+R493+W493+AB493+AG493+AL493</f>
        <v>475.8</v>
      </c>
      <c r="I493" s="38">
        <f>N493+S493+X493+AC493+AH493+AM493</f>
        <v>0</v>
      </c>
      <c r="J493" s="18">
        <f>SUM(K493:N493)</f>
        <v>0</v>
      </c>
      <c r="K493" s="19">
        <v>0</v>
      </c>
      <c r="L493" s="19">
        <v>0</v>
      </c>
      <c r="M493" s="19">
        <v>0</v>
      </c>
      <c r="N493" s="19">
        <v>0</v>
      </c>
      <c r="O493" s="18">
        <f>Q493+R493+S493</f>
        <v>475.8</v>
      </c>
      <c r="P493" s="19">
        <v>0</v>
      </c>
      <c r="Q493" s="19">
        <v>0</v>
      </c>
      <c r="R493" s="19">
        <v>475.8</v>
      </c>
      <c r="S493" s="19">
        <v>0</v>
      </c>
      <c r="T493" s="18">
        <f>SUM(U493:X493)</f>
        <v>0</v>
      </c>
      <c r="U493" s="19">
        <v>0</v>
      </c>
      <c r="V493" s="19">
        <v>0</v>
      </c>
      <c r="W493" s="19">
        <v>0</v>
      </c>
      <c r="X493" s="19">
        <v>0</v>
      </c>
      <c r="Y493" s="18">
        <f>SUM(Z493:AC493)</f>
        <v>0</v>
      </c>
      <c r="Z493" s="19">
        <v>0</v>
      </c>
      <c r="AA493" s="19">
        <v>0</v>
      </c>
      <c r="AB493" s="19">
        <v>0</v>
      </c>
      <c r="AC493" s="19">
        <v>0</v>
      </c>
      <c r="AD493" s="18">
        <f>SUM(AE493:AH493)</f>
        <v>0</v>
      </c>
      <c r="AE493" s="19">
        <v>0</v>
      </c>
      <c r="AF493" s="19">
        <v>0</v>
      </c>
      <c r="AG493" s="19">
        <v>0</v>
      </c>
      <c r="AH493" s="19">
        <v>0</v>
      </c>
      <c r="AI493" s="18">
        <f>SUM(AJ493:AM493)</f>
        <v>0</v>
      </c>
      <c r="AJ493" s="19">
        <v>0</v>
      </c>
      <c r="AK493" s="19">
        <v>0</v>
      </c>
      <c r="AL493" s="19">
        <v>0</v>
      </c>
      <c r="AM493" s="19">
        <v>0</v>
      </c>
    </row>
    <row r="494" spans="1:39" s="2" customFormat="1" ht="42" customHeight="1" outlineLevel="1" x14ac:dyDescent="0.25">
      <c r="A494" s="165" t="s">
        <v>530</v>
      </c>
      <c r="B494" s="204" t="s">
        <v>689</v>
      </c>
      <c r="C494" s="201"/>
      <c r="D494" s="202"/>
      <c r="E494" s="20">
        <f>SUM(E495)</f>
        <v>10</v>
      </c>
      <c r="F494" s="20">
        <f t="shared" si="769"/>
        <v>0</v>
      </c>
      <c r="G494" s="20">
        <f t="shared" si="769"/>
        <v>0</v>
      </c>
      <c r="H494" s="20">
        <f t="shared" si="769"/>
        <v>10</v>
      </c>
      <c r="I494" s="20">
        <f t="shared" si="769"/>
        <v>0</v>
      </c>
      <c r="J494" s="20">
        <f t="shared" si="769"/>
        <v>0</v>
      </c>
      <c r="K494" s="20">
        <f t="shared" si="769"/>
        <v>0</v>
      </c>
      <c r="L494" s="20">
        <f t="shared" si="769"/>
        <v>0</v>
      </c>
      <c r="M494" s="20">
        <f t="shared" si="769"/>
        <v>0</v>
      </c>
      <c r="N494" s="20">
        <f t="shared" si="769"/>
        <v>0</v>
      </c>
      <c r="O494" s="20">
        <f t="shared" si="769"/>
        <v>10</v>
      </c>
      <c r="P494" s="20">
        <f t="shared" si="769"/>
        <v>0</v>
      </c>
      <c r="Q494" s="20">
        <f t="shared" si="769"/>
        <v>0</v>
      </c>
      <c r="R494" s="20">
        <f t="shared" si="769"/>
        <v>10</v>
      </c>
      <c r="S494" s="20">
        <f t="shared" si="769"/>
        <v>0</v>
      </c>
      <c r="T494" s="20">
        <f t="shared" si="769"/>
        <v>0</v>
      </c>
      <c r="U494" s="20">
        <f t="shared" si="769"/>
        <v>0</v>
      </c>
      <c r="V494" s="20">
        <f t="shared" si="769"/>
        <v>0</v>
      </c>
      <c r="W494" s="20">
        <f t="shared" si="769"/>
        <v>0</v>
      </c>
      <c r="X494" s="20">
        <f t="shared" si="769"/>
        <v>0</v>
      </c>
      <c r="Y494" s="20">
        <f t="shared" si="769"/>
        <v>0</v>
      </c>
      <c r="Z494" s="20">
        <f t="shared" si="769"/>
        <v>0</v>
      </c>
      <c r="AA494" s="20">
        <f t="shared" si="769"/>
        <v>0</v>
      </c>
      <c r="AB494" s="20">
        <f t="shared" si="769"/>
        <v>0</v>
      </c>
      <c r="AC494" s="20">
        <f t="shared" si="769"/>
        <v>0</v>
      </c>
      <c r="AD494" s="20">
        <f t="shared" si="769"/>
        <v>0</v>
      </c>
      <c r="AE494" s="20">
        <f t="shared" si="769"/>
        <v>0</v>
      </c>
      <c r="AF494" s="20">
        <f t="shared" si="769"/>
        <v>0</v>
      </c>
      <c r="AG494" s="20">
        <f t="shared" si="769"/>
        <v>0</v>
      </c>
      <c r="AH494" s="20">
        <f t="shared" si="769"/>
        <v>0</v>
      </c>
      <c r="AI494" s="20">
        <f t="shared" si="769"/>
        <v>0</v>
      </c>
      <c r="AJ494" s="20">
        <f t="shared" si="769"/>
        <v>0</v>
      </c>
      <c r="AK494" s="20">
        <f t="shared" si="769"/>
        <v>0</v>
      </c>
      <c r="AL494" s="20">
        <f t="shared" si="769"/>
        <v>0</v>
      </c>
      <c r="AM494" s="20">
        <f t="shared" si="769"/>
        <v>0</v>
      </c>
    </row>
    <row r="495" spans="1:39" s="2" customFormat="1" ht="31.5" outlineLevel="3" x14ac:dyDescent="0.25">
      <c r="A495" s="8" t="s">
        <v>690</v>
      </c>
      <c r="B495" s="34" t="s">
        <v>535</v>
      </c>
      <c r="C495" s="26" t="s">
        <v>32</v>
      </c>
      <c r="D495" s="26" t="s">
        <v>8</v>
      </c>
      <c r="E495" s="20">
        <f>SUM(F495:I495)</f>
        <v>10</v>
      </c>
      <c r="F495" s="38">
        <f>K495+P495+U495</f>
        <v>0</v>
      </c>
      <c r="G495" s="38">
        <f>L495+Q495+V495+AA495+AF495+AK495</f>
        <v>0</v>
      </c>
      <c r="H495" s="38">
        <f>M495+R495+W495+AB495+AG495+AL495</f>
        <v>10</v>
      </c>
      <c r="I495" s="38">
        <f>N495+S495+X495+AC495+AH495+AM495</f>
        <v>0</v>
      </c>
      <c r="J495" s="18">
        <f>SUM(K495:N495)</f>
        <v>0</v>
      </c>
      <c r="K495" s="19">
        <v>0</v>
      </c>
      <c r="L495" s="19">
        <v>0</v>
      </c>
      <c r="M495" s="19">
        <v>0</v>
      </c>
      <c r="N495" s="19">
        <v>0</v>
      </c>
      <c r="O495" s="18">
        <f>Q495+R495+S495</f>
        <v>10</v>
      </c>
      <c r="P495" s="19"/>
      <c r="Q495" s="19">
        <v>0</v>
      </c>
      <c r="R495" s="19">
        <v>10</v>
      </c>
      <c r="S495" s="19">
        <v>0</v>
      </c>
      <c r="T495" s="18">
        <f>SUM(U495:X495)</f>
        <v>0</v>
      </c>
      <c r="U495" s="19"/>
      <c r="V495" s="19">
        <v>0</v>
      </c>
      <c r="W495" s="19">
        <v>0</v>
      </c>
      <c r="X495" s="19">
        <v>0</v>
      </c>
      <c r="Y495" s="18">
        <f>SUM(Z495:AC495)</f>
        <v>0</v>
      </c>
      <c r="Z495" s="19"/>
      <c r="AA495" s="19">
        <v>0</v>
      </c>
      <c r="AB495" s="19">
        <v>0</v>
      </c>
      <c r="AC495" s="19">
        <v>0</v>
      </c>
      <c r="AD495" s="18">
        <f>SUM(AE495:AH495)</f>
        <v>0</v>
      </c>
      <c r="AE495" s="19"/>
      <c r="AF495" s="19">
        <v>0</v>
      </c>
      <c r="AG495" s="19">
        <v>0</v>
      </c>
      <c r="AH495" s="19">
        <v>0</v>
      </c>
      <c r="AI495" s="18">
        <f>SUM(AJ495:AM495)</f>
        <v>0</v>
      </c>
      <c r="AJ495" s="19"/>
      <c r="AK495" s="19">
        <v>0</v>
      </c>
      <c r="AL495" s="19">
        <v>0</v>
      </c>
      <c r="AM495" s="19">
        <v>0</v>
      </c>
    </row>
    <row r="496" spans="1:39" s="2" customFormat="1" ht="42" customHeight="1" outlineLevel="1" x14ac:dyDescent="0.25">
      <c r="A496" s="165" t="s">
        <v>1009</v>
      </c>
      <c r="B496" s="204" t="s">
        <v>1010</v>
      </c>
      <c r="C496" s="201"/>
      <c r="D496" s="202"/>
      <c r="E496" s="20">
        <f>E497+E501+E505</f>
        <v>203500.4</v>
      </c>
      <c r="F496" s="20">
        <f t="shared" ref="F496:AM496" si="770">F497+F501+F505</f>
        <v>0</v>
      </c>
      <c r="G496" s="20">
        <f t="shared" si="770"/>
        <v>0</v>
      </c>
      <c r="H496" s="20">
        <f t="shared" si="770"/>
        <v>203500.4</v>
      </c>
      <c r="I496" s="20">
        <f t="shared" si="770"/>
        <v>0</v>
      </c>
      <c r="J496" s="20">
        <f t="shared" si="770"/>
        <v>0</v>
      </c>
      <c r="K496" s="20">
        <f t="shared" si="770"/>
        <v>0</v>
      </c>
      <c r="L496" s="20">
        <f t="shared" si="770"/>
        <v>0</v>
      </c>
      <c r="M496" s="20">
        <f t="shared" si="770"/>
        <v>0</v>
      </c>
      <c r="N496" s="20">
        <f t="shared" si="770"/>
        <v>0</v>
      </c>
      <c r="O496" s="20">
        <f t="shared" si="770"/>
        <v>0</v>
      </c>
      <c r="P496" s="20">
        <f t="shared" si="770"/>
        <v>0</v>
      </c>
      <c r="Q496" s="20">
        <f t="shared" si="770"/>
        <v>0</v>
      </c>
      <c r="R496" s="20">
        <f t="shared" si="770"/>
        <v>0</v>
      </c>
      <c r="S496" s="20">
        <f t="shared" si="770"/>
        <v>0</v>
      </c>
      <c r="T496" s="20">
        <f t="shared" si="770"/>
        <v>0</v>
      </c>
      <c r="U496" s="20">
        <f t="shared" si="770"/>
        <v>0</v>
      </c>
      <c r="V496" s="20">
        <f t="shared" si="770"/>
        <v>0</v>
      </c>
      <c r="W496" s="20">
        <f t="shared" si="770"/>
        <v>0</v>
      </c>
      <c r="X496" s="20">
        <f t="shared" si="770"/>
        <v>0</v>
      </c>
      <c r="Y496" s="20">
        <f t="shared" si="770"/>
        <v>11521.5</v>
      </c>
      <c r="Z496" s="20">
        <f t="shared" si="770"/>
        <v>0</v>
      </c>
      <c r="AA496" s="20">
        <f t="shared" si="770"/>
        <v>0</v>
      </c>
      <c r="AB496" s="20">
        <f t="shared" si="770"/>
        <v>11521.5</v>
      </c>
      <c r="AC496" s="20">
        <f t="shared" si="770"/>
        <v>0</v>
      </c>
      <c r="AD496" s="20">
        <f t="shared" si="770"/>
        <v>60832.7</v>
      </c>
      <c r="AE496" s="20">
        <f t="shared" si="770"/>
        <v>0</v>
      </c>
      <c r="AF496" s="20">
        <f t="shared" si="770"/>
        <v>0</v>
      </c>
      <c r="AG496" s="20">
        <f t="shared" si="770"/>
        <v>60832.7</v>
      </c>
      <c r="AH496" s="20">
        <f t="shared" si="770"/>
        <v>0</v>
      </c>
      <c r="AI496" s="20">
        <f t="shared" si="770"/>
        <v>131146.20000000001</v>
      </c>
      <c r="AJ496" s="20">
        <f t="shared" si="770"/>
        <v>0</v>
      </c>
      <c r="AK496" s="20">
        <f t="shared" si="770"/>
        <v>0</v>
      </c>
      <c r="AL496" s="20">
        <f t="shared" si="770"/>
        <v>131146.20000000001</v>
      </c>
      <c r="AM496" s="20">
        <f t="shared" si="770"/>
        <v>0</v>
      </c>
    </row>
    <row r="497" spans="1:39" s="2" customFormat="1" ht="42" customHeight="1" outlineLevel="1" x14ac:dyDescent="0.25">
      <c r="A497" s="165" t="s">
        <v>1011</v>
      </c>
      <c r="B497" s="197" t="s">
        <v>1104</v>
      </c>
      <c r="C497" s="203"/>
      <c r="D497" s="203"/>
      <c r="E497" s="20">
        <f>SUM(E498:E500)</f>
        <v>4428.8999999999996</v>
      </c>
      <c r="F497" s="20">
        <f t="shared" ref="F497:AM497" si="771">SUM(F498:F500)</f>
        <v>0</v>
      </c>
      <c r="G497" s="20">
        <f t="shared" si="771"/>
        <v>0</v>
      </c>
      <c r="H497" s="20">
        <f t="shared" si="771"/>
        <v>4428.8999999999996</v>
      </c>
      <c r="I497" s="20">
        <f t="shared" si="771"/>
        <v>0</v>
      </c>
      <c r="J497" s="20">
        <f t="shared" si="771"/>
        <v>0</v>
      </c>
      <c r="K497" s="20">
        <f t="shared" si="771"/>
        <v>0</v>
      </c>
      <c r="L497" s="20">
        <f t="shared" si="771"/>
        <v>0</v>
      </c>
      <c r="M497" s="20">
        <f t="shared" si="771"/>
        <v>0</v>
      </c>
      <c r="N497" s="20">
        <f t="shared" si="771"/>
        <v>0</v>
      </c>
      <c r="O497" s="20">
        <f t="shared" si="771"/>
        <v>0</v>
      </c>
      <c r="P497" s="20">
        <f t="shared" si="771"/>
        <v>0</v>
      </c>
      <c r="Q497" s="20">
        <f t="shared" si="771"/>
        <v>0</v>
      </c>
      <c r="R497" s="20">
        <f t="shared" si="771"/>
        <v>0</v>
      </c>
      <c r="S497" s="20">
        <f t="shared" si="771"/>
        <v>0</v>
      </c>
      <c r="T497" s="20">
        <f t="shared" si="771"/>
        <v>0</v>
      </c>
      <c r="U497" s="20">
        <f t="shared" si="771"/>
        <v>0</v>
      </c>
      <c r="V497" s="20">
        <f t="shared" si="771"/>
        <v>0</v>
      </c>
      <c r="W497" s="20">
        <f t="shared" si="771"/>
        <v>0</v>
      </c>
      <c r="X497" s="20">
        <f t="shared" si="771"/>
        <v>0</v>
      </c>
      <c r="Y497" s="20">
        <f t="shared" si="771"/>
        <v>4428.8999999999996</v>
      </c>
      <c r="Z497" s="20">
        <f t="shared" si="771"/>
        <v>0</v>
      </c>
      <c r="AA497" s="20">
        <f t="shared" si="771"/>
        <v>0</v>
      </c>
      <c r="AB497" s="20">
        <f t="shared" si="771"/>
        <v>4428.8999999999996</v>
      </c>
      <c r="AC497" s="20">
        <f t="shared" si="771"/>
        <v>0</v>
      </c>
      <c r="AD497" s="20">
        <f t="shared" si="771"/>
        <v>0</v>
      </c>
      <c r="AE497" s="20">
        <f t="shared" si="771"/>
        <v>0</v>
      </c>
      <c r="AF497" s="20">
        <f t="shared" si="771"/>
        <v>0</v>
      </c>
      <c r="AG497" s="20">
        <f t="shared" si="771"/>
        <v>0</v>
      </c>
      <c r="AH497" s="20">
        <f t="shared" si="771"/>
        <v>0</v>
      </c>
      <c r="AI497" s="20">
        <f t="shared" si="771"/>
        <v>0</v>
      </c>
      <c r="AJ497" s="20">
        <f t="shared" si="771"/>
        <v>0</v>
      </c>
      <c r="AK497" s="20">
        <f t="shared" si="771"/>
        <v>0</v>
      </c>
      <c r="AL497" s="20">
        <f t="shared" si="771"/>
        <v>0</v>
      </c>
      <c r="AM497" s="20">
        <f t="shared" si="771"/>
        <v>0</v>
      </c>
    </row>
    <row r="498" spans="1:39" s="2" customFormat="1" ht="31.5" outlineLevel="3" x14ac:dyDescent="0.25">
      <c r="A498" s="8" t="s">
        <v>1096</v>
      </c>
      <c r="B498" s="34" t="s">
        <v>59</v>
      </c>
      <c r="C498" s="26" t="s">
        <v>32</v>
      </c>
      <c r="D498" s="26" t="s">
        <v>118</v>
      </c>
      <c r="E498" s="20">
        <f>SUM(F498:I498)</f>
        <v>1519.6</v>
      </c>
      <c r="F498" s="38">
        <f>K498+P498+U498</f>
        <v>0</v>
      </c>
      <c r="G498" s="38">
        <f t="shared" ref="G498" si="772">L498+Q498+V498+AA498+AF498+AK498</f>
        <v>0</v>
      </c>
      <c r="H498" s="38">
        <f t="shared" ref="H498" si="773">M498+R498+W498+AB498+AG498+AL498</f>
        <v>1519.6</v>
      </c>
      <c r="I498" s="38">
        <f t="shared" ref="I498" si="774">N498+S498+X498+AC498+AH498+AM498</f>
        <v>0</v>
      </c>
      <c r="J498" s="18">
        <f>SUM(K498:N498)</f>
        <v>0</v>
      </c>
      <c r="K498" s="19">
        <v>0</v>
      </c>
      <c r="L498" s="19">
        <v>0</v>
      </c>
      <c r="M498" s="19">
        <v>0</v>
      </c>
      <c r="N498" s="19">
        <v>0</v>
      </c>
      <c r="O498" s="18">
        <f>Q498+R498+S498</f>
        <v>0</v>
      </c>
      <c r="P498" s="19"/>
      <c r="Q498" s="19">
        <v>0</v>
      </c>
      <c r="R498" s="19">
        <v>0</v>
      </c>
      <c r="S498" s="19">
        <v>0</v>
      </c>
      <c r="T498" s="18">
        <f>SUM(U498:X498)</f>
        <v>0</v>
      </c>
      <c r="U498" s="19"/>
      <c r="V498" s="19">
        <v>0</v>
      </c>
      <c r="W498" s="19">
        <v>0</v>
      </c>
      <c r="X498" s="19">
        <v>0</v>
      </c>
      <c r="Y498" s="18">
        <f>SUM(Z498:AC498)</f>
        <v>1519.6</v>
      </c>
      <c r="Z498" s="19"/>
      <c r="AA498" s="19">
        <v>0</v>
      </c>
      <c r="AB498" s="19">
        <v>1519.6</v>
      </c>
      <c r="AC498" s="19">
        <v>0</v>
      </c>
      <c r="AD498" s="18">
        <f>SUM(AE498:AH498)</f>
        <v>0</v>
      </c>
      <c r="AE498" s="19"/>
      <c r="AF498" s="19">
        <v>0</v>
      </c>
      <c r="AG498" s="19">
        <v>0</v>
      </c>
      <c r="AH498" s="19">
        <v>0</v>
      </c>
      <c r="AI498" s="18">
        <f>SUM(AJ498:AM498)</f>
        <v>0</v>
      </c>
      <c r="AJ498" s="19"/>
      <c r="AK498" s="19">
        <v>0</v>
      </c>
      <c r="AL498" s="19">
        <v>0</v>
      </c>
      <c r="AM498" s="19">
        <v>0</v>
      </c>
    </row>
    <row r="499" spans="1:39" s="2" customFormat="1" ht="31.5" outlineLevel="3" x14ac:dyDescent="0.25">
      <c r="A499" s="8" t="s">
        <v>1098</v>
      </c>
      <c r="B499" s="34" t="s">
        <v>64</v>
      </c>
      <c r="C499" s="26" t="s">
        <v>32</v>
      </c>
      <c r="D499" s="26" t="s">
        <v>118</v>
      </c>
      <c r="E499" s="20">
        <f>SUM(F499:I499)</f>
        <v>1451.5</v>
      </c>
      <c r="F499" s="38">
        <f>K499+P499+U499</f>
        <v>0</v>
      </c>
      <c r="G499" s="38">
        <f t="shared" ref="G499:G500" si="775">L499+Q499+V499+AA499+AF499+AK499</f>
        <v>0</v>
      </c>
      <c r="H499" s="38">
        <f t="shared" ref="H499:H500" si="776">M499+R499+W499+AB499+AG499+AL499</f>
        <v>1451.5</v>
      </c>
      <c r="I499" s="38">
        <f t="shared" ref="I499:I500" si="777">N499+S499+X499+AC499+AH499+AM499</f>
        <v>0</v>
      </c>
      <c r="J499" s="18">
        <f>SUM(K499:N499)</f>
        <v>0</v>
      </c>
      <c r="K499" s="19">
        <v>0</v>
      </c>
      <c r="L499" s="19">
        <v>0</v>
      </c>
      <c r="M499" s="19">
        <v>0</v>
      </c>
      <c r="N499" s="19">
        <v>0</v>
      </c>
      <c r="O499" s="18">
        <f>Q499+R499+S499</f>
        <v>0</v>
      </c>
      <c r="P499" s="19"/>
      <c r="Q499" s="19">
        <v>0</v>
      </c>
      <c r="R499" s="19">
        <v>0</v>
      </c>
      <c r="S499" s="19">
        <v>0</v>
      </c>
      <c r="T499" s="18">
        <f>SUM(U499:X499)</f>
        <v>0</v>
      </c>
      <c r="U499" s="19"/>
      <c r="V499" s="19">
        <v>0</v>
      </c>
      <c r="W499" s="19">
        <v>0</v>
      </c>
      <c r="X499" s="19">
        <v>0</v>
      </c>
      <c r="Y499" s="18">
        <f>SUM(Z499:AC499)</f>
        <v>1451.5</v>
      </c>
      <c r="Z499" s="19"/>
      <c r="AA499" s="19">
        <v>0</v>
      </c>
      <c r="AB499" s="19">
        <v>1451.5</v>
      </c>
      <c r="AC499" s="19">
        <v>0</v>
      </c>
      <c r="AD499" s="18">
        <f>SUM(AE499:AH499)</f>
        <v>0</v>
      </c>
      <c r="AE499" s="19"/>
      <c r="AF499" s="19">
        <v>0</v>
      </c>
      <c r="AG499" s="19">
        <v>0</v>
      </c>
      <c r="AH499" s="19">
        <v>0</v>
      </c>
      <c r="AI499" s="18">
        <f>SUM(AJ499:AM499)</f>
        <v>0</v>
      </c>
      <c r="AJ499" s="19"/>
      <c r="AK499" s="19">
        <v>0</v>
      </c>
      <c r="AL499" s="19">
        <v>0</v>
      </c>
      <c r="AM499" s="19">
        <v>0</v>
      </c>
    </row>
    <row r="500" spans="1:39" s="2" customFormat="1" ht="31.5" outlineLevel="3" x14ac:dyDescent="0.25">
      <c r="A500" s="8" t="s">
        <v>1099</v>
      </c>
      <c r="B500" s="34" t="s">
        <v>1097</v>
      </c>
      <c r="C500" s="26" t="s">
        <v>32</v>
      </c>
      <c r="D500" s="26" t="s">
        <v>118</v>
      </c>
      <c r="E500" s="20">
        <f>SUM(F500:I500)</f>
        <v>1457.8</v>
      </c>
      <c r="F500" s="38">
        <f>K500+P500+U500</f>
        <v>0</v>
      </c>
      <c r="G500" s="38">
        <f t="shared" si="775"/>
        <v>0</v>
      </c>
      <c r="H500" s="38">
        <f t="shared" si="776"/>
        <v>1457.8</v>
      </c>
      <c r="I500" s="38">
        <f t="shared" si="777"/>
        <v>0</v>
      </c>
      <c r="J500" s="18">
        <f>SUM(K500:N500)</f>
        <v>0</v>
      </c>
      <c r="K500" s="19">
        <v>0</v>
      </c>
      <c r="L500" s="19">
        <v>0</v>
      </c>
      <c r="M500" s="19">
        <v>0</v>
      </c>
      <c r="N500" s="19">
        <v>0</v>
      </c>
      <c r="O500" s="18">
        <f>Q500+R500+S500</f>
        <v>0</v>
      </c>
      <c r="P500" s="19"/>
      <c r="Q500" s="19">
        <v>0</v>
      </c>
      <c r="R500" s="19">
        <v>0</v>
      </c>
      <c r="S500" s="19">
        <v>0</v>
      </c>
      <c r="T500" s="18">
        <f>SUM(U500:X500)</f>
        <v>0</v>
      </c>
      <c r="U500" s="19"/>
      <c r="V500" s="19">
        <v>0</v>
      </c>
      <c r="W500" s="19">
        <v>0</v>
      </c>
      <c r="X500" s="19">
        <v>0</v>
      </c>
      <c r="Y500" s="18">
        <f>SUM(Z500:AC500)</f>
        <v>1457.8</v>
      </c>
      <c r="Z500" s="19"/>
      <c r="AA500" s="19">
        <v>0</v>
      </c>
      <c r="AB500" s="19">
        <v>1457.8</v>
      </c>
      <c r="AC500" s="19">
        <v>0</v>
      </c>
      <c r="AD500" s="18">
        <f>SUM(AE500:AH500)</f>
        <v>0</v>
      </c>
      <c r="AE500" s="19"/>
      <c r="AF500" s="19">
        <v>0</v>
      </c>
      <c r="AG500" s="19">
        <v>0</v>
      </c>
      <c r="AH500" s="19">
        <v>0</v>
      </c>
      <c r="AI500" s="18">
        <f>SUM(AJ500:AM500)</f>
        <v>0</v>
      </c>
      <c r="AJ500" s="19"/>
      <c r="AK500" s="19">
        <v>0</v>
      </c>
      <c r="AL500" s="19">
        <v>0</v>
      </c>
      <c r="AM500" s="19">
        <v>0</v>
      </c>
    </row>
    <row r="501" spans="1:39" s="2" customFormat="1" ht="42" customHeight="1" outlineLevel="1" x14ac:dyDescent="0.25">
      <c r="A501" s="165" t="s">
        <v>1092</v>
      </c>
      <c r="B501" s="197" t="s">
        <v>1103</v>
      </c>
      <c r="C501" s="203"/>
      <c r="D501" s="203"/>
      <c r="E501" s="20">
        <f>SUM(E502:E504)</f>
        <v>7145.4</v>
      </c>
      <c r="F501" s="20">
        <f t="shared" ref="F501" si="778">SUM(F502:F504)</f>
        <v>0</v>
      </c>
      <c r="G501" s="20">
        <f t="shared" ref="G501" si="779">SUM(G502:G504)</f>
        <v>0</v>
      </c>
      <c r="H501" s="20">
        <f t="shared" ref="H501" si="780">SUM(H502:H504)</f>
        <v>7145.4</v>
      </c>
      <c r="I501" s="20">
        <f t="shared" ref="I501" si="781">SUM(I502:I504)</f>
        <v>0</v>
      </c>
      <c r="J501" s="20">
        <f t="shared" ref="J501" si="782">SUM(J502:J504)</f>
        <v>0</v>
      </c>
      <c r="K501" s="20">
        <f t="shared" ref="K501" si="783">SUM(K502:K504)</f>
        <v>0</v>
      </c>
      <c r="L501" s="20">
        <f t="shared" ref="L501" si="784">SUM(L502:L504)</f>
        <v>0</v>
      </c>
      <c r="M501" s="20">
        <f t="shared" ref="M501" si="785">SUM(M502:M504)</f>
        <v>0</v>
      </c>
      <c r="N501" s="20">
        <f t="shared" ref="N501" si="786">SUM(N502:N504)</f>
        <v>0</v>
      </c>
      <c r="O501" s="20">
        <f t="shared" ref="O501" si="787">SUM(O502:O504)</f>
        <v>0</v>
      </c>
      <c r="P501" s="20">
        <f t="shared" ref="P501" si="788">SUM(P502:P504)</f>
        <v>0</v>
      </c>
      <c r="Q501" s="20">
        <f t="shared" ref="Q501" si="789">SUM(Q502:Q504)</f>
        <v>0</v>
      </c>
      <c r="R501" s="20">
        <f t="shared" ref="R501" si="790">SUM(R502:R504)</f>
        <v>0</v>
      </c>
      <c r="S501" s="20">
        <f t="shared" ref="S501" si="791">SUM(S502:S504)</f>
        <v>0</v>
      </c>
      <c r="T501" s="20">
        <f t="shared" ref="T501" si="792">SUM(T502:T504)</f>
        <v>0</v>
      </c>
      <c r="U501" s="20">
        <f t="shared" ref="U501" si="793">SUM(U502:U504)</f>
        <v>0</v>
      </c>
      <c r="V501" s="20">
        <f t="shared" ref="V501" si="794">SUM(V502:V504)</f>
        <v>0</v>
      </c>
      <c r="W501" s="20">
        <f t="shared" ref="W501" si="795">SUM(W502:W504)</f>
        <v>0</v>
      </c>
      <c r="X501" s="20">
        <f t="shared" ref="X501" si="796">SUM(X502:X504)</f>
        <v>0</v>
      </c>
      <c r="Y501" s="20">
        <f t="shared" ref="Y501" si="797">SUM(Y502:Y504)</f>
        <v>3346.7</v>
      </c>
      <c r="Z501" s="20">
        <f t="shared" ref="Z501" si="798">SUM(Z502:Z504)</f>
        <v>0</v>
      </c>
      <c r="AA501" s="20">
        <f t="shared" ref="AA501" si="799">SUM(AA502:AA504)</f>
        <v>0</v>
      </c>
      <c r="AB501" s="20">
        <f>SUM(AB502:AB504)</f>
        <v>3346.7</v>
      </c>
      <c r="AC501" s="20">
        <f t="shared" ref="AC501" si="800">SUM(AC502:AC504)</f>
        <v>0</v>
      </c>
      <c r="AD501" s="20">
        <f t="shared" ref="AD501" si="801">SUM(AD502:AD504)</f>
        <v>3798.7</v>
      </c>
      <c r="AE501" s="20">
        <f t="shared" ref="AE501" si="802">SUM(AE502:AE504)</f>
        <v>0</v>
      </c>
      <c r="AF501" s="20">
        <f t="shared" ref="AF501" si="803">SUM(AF502:AF504)</f>
        <v>0</v>
      </c>
      <c r="AG501" s="20">
        <f t="shared" ref="AG501" si="804">SUM(AG502:AG504)</f>
        <v>3798.7</v>
      </c>
      <c r="AH501" s="20">
        <f t="shared" ref="AH501" si="805">SUM(AH502:AH504)</f>
        <v>0</v>
      </c>
      <c r="AI501" s="20">
        <f t="shared" ref="AI501" si="806">SUM(AI502:AI504)</f>
        <v>0</v>
      </c>
      <c r="AJ501" s="20">
        <f t="shared" ref="AJ501" si="807">SUM(AJ502:AJ504)</f>
        <v>0</v>
      </c>
      <c r="AK501" s="20">
        <f t="shared" ref="AK501" si="808">SUM(AK502:AK504)</f>
        <v>0</v>
      </c>
      <c r="AL501" s="20">
        <f t="shared" ref="AL501" si="809">SUM(AL502:AL504)</f>
        <v>0</v>
      </c>
      <c r="AM501" s="20">
        <f t="shared" ref="AM501" si="810">SUM(AM502:AM504)</f>
        <v>0</v>
      </c>
    </row>
    <row r="502" spans="1:39" s="2" customFormat="1" ht="31.5" outlineLevel="3" x14ac:dyDescent="0.25">
      <c r="A502" s="8" t="s">
        <v>1100</v>
      </c>
      <c r="B502" s="34" t="s">
        <v>59</v>
      </c>
      <c r="C502" s="26" t="s">
        <v>32</v>
      </c>
      <c r="D502" s="26" t="s">
        <v>118</v>
      </c>
      <c r="E502" s="20">
        <f>SUM(F502:I502)</f>
        <v>4498.7</v>
      </c>
      <c r="F502" s="38">
        <f>K502+P502+U502</f>
        <v>0</v>
      </c>
      <c r="G502" s="38">
        <f t="shared" ref="G502:G504" si="811">L502+Q502+V502+AA502+AF502+AK502</f>
        <v>0</v>
      </c>
      <c r="H502" s="38">
        <f t="shared" ref="H502:H504" si="812">M502+R502+W502+AB502+AG502+AL502</f>
        <v>4498.7</v>
      </c>
      <c r="I502" s="38">
        <f t="shared" ref="I502:I504" si="813">N502+S502+X502+AC502+AH502+AM502</f>
        <v>0</v>
      </c>
      <c r="J502" s="18">
        <f>SUM(K502:N502)</f>
        <v>0</v>
      </c>
      <c r="K502" s="19">
        <v>0</v>
      </c>
      <c r="L502" s="19">
        <v>0</v>
      </c>
      <c r="M502" s="19">
        <v>0</v>
      </c>
      <c r="N502" s="19">
        <v>0</v>
      </c>
      <c r="O502" s="18">
        <f>Q502+R502+S502</f>
        <v>0</v>
      </c>
      <c r="P502" s="19"/>
      <c r="Q502" s="19">
        <v>0</v>
      </c>
      <c r="R502" s="19">
        <v>0</v>
      </c>
      <c r="S502" s="19">
        <v>0</v>
      </c>
      <c r="T502" s="18">
        <f>SUM(U502:X502)</f>
        <v>0</v>
      </c>
      <c r="U502" s="19"/>
      <c r="V502" s="19">
        <v>0</v>
      </c>
      <c r="W502" s="19">
        <v>0</v>
      </c>
      <c r="X502" s="19">
        <v>0</v>
      </c>
      <c r="Y502" s="18">
        <f>SUM(Z502:AC502)</f>
        <v>700</v>
      </c>
      <c r="Z502" s="19"/>
      <c r="AA502" s="19">
        <v>0</v>
      </c>
      <c r="AB502" s="19">
        <f>4498.7-3798.7</f>
        <v>700</v>
      </c>
      <c r="AC502" s="19">
        <v>0</v>
      </c>
      <c r="AD502" s="18">
        <f>SUM(AE502:AH502)</f>
        <v>3798.7</v>
      </c>
      <c r="AE502" s="19"/>
      <c r="AF502" s="19">
        <v>0</v>
      </c>
      <c r="AG502" s="19">
        <v>3798.7</v>
      </c>
      <c r="AH502" s="19">
        <v>0</v>
      </c>
      <c r="AI502" s="18">
        <f>SUM(AJ502:AM502)</f>
        <v>0</v>
      </c>
      <c r="AJ502" s="19"/>
      <c r="AK502" s="19">
        <v>0</v>
      </c>
      <c r="AL502" s="19">
        <v>0</v>
      </c>
      <c r="AM502" s="19">
        <v>0</v>
      </c>
    </row>
    <row r="503" spans="1:39" s="2" customFormat="1" ht="31.5" outlineLevel="3" x14ac:dyDescent="0.25">
      <c r="A503" s="8" t="s">
        <v>1101</v>
      </c>
      <c r="B503" s="34" t="s">
        <v>64</v>
      </c>
      <c r="C503" s="26" t="s">
        <v>32</v>
      </c>
      <c r="D503" s="26" t="s">
        <v>118</v>
      </c>
      <c r="E503" s="20">
        <f>SUM(F503:I503)</f>
        <v>1126.7</v>
      </c>
      <c r="F503" s="38">
        <f>K503+P503+U503</f>
        <v>0</v>
      </c>
      <c r="G503" s="38">
        <f t="shared" si="811"/>
        <v>0</v>
      </c>
      <c r="H503" s="38">
        <f t="shared" si="812"/>
        <v>1126.7</v>
      </c>
      <c r="I503" s="38">
        <f t="shared" si="813"/>
        <v>0</v>
      </c>
      <c r="J503" s="18">
        <f>SUM(K503:N503)</f>
        <v>0</v>
      </c>
      <c r="K503" s="19">
        <v>0</v>
      </c>
      <c r="L503" s="19">
        <v>0</v>
      </c>
      <c r="M503" s="19">
        <v>0</v>
      </c>
      <c r="N503" s="19">
        <v>0</v>
      </c>
      <c r="O503" s="18">
        <f>Q503+R503+S503</f>
        <v>0</v>
      </c>
      <c r="P503" s="19"/>
      <c r="Q503" s="19">
        <v>0</v>
      </c>
      <c r="R503" s="19">
        <v>0</v>
      </c>
      <c r="S503" s="19">
        <v>0</v>
      </c>
      <c r="T503" s="18">
        <f>SUM(U503:X503)</f>
        <v>0</v>
      </c>
      <c r="U503" s="19"/>
      <c r="V503" s="19">
        <v>0</v>
      </c>
      <c r="W503" s="19">
        <v>0</v>
      </c>
      <c r="X503" s="19">
        <v>0</v>
      </c>
      <c r="Y503" s="18">
        <f>SUM(Z503:AC503)</f>
        <v>1126.7</v>
      </c>
      <c r="Z503" s="19"/>
      <c r="AA503" s="19">
        <v>0</v>
      </c>
      <c r="AB503" s="19">
        <v>1126.7</v>
      </c>
      <c r="AC503" s="19">
        <v>0</v>
      </c>
      <c r="AD503" s="18">
        <f>SUM(AE503:AH503)</f>
        <v>0</v>
      </c>
      <c r="AE503" s="19"/>
      <c r="AF503" s="19">
        <v>0</v>
      </c>
      <c r="AG503" s="19">
        <v>0</v>
      </c>
      <c r="AH503" s="19">
        <v>0</v>
      </c>
      <c r="AI503" s="18">
        <f>SUM(AJ503:AM503)</f>
        <v>0</v>
      </c>
      <c r="AJ503" s="19"/>
      <c r="AK503" s="19">
        <v>0</v>
      </c>
      <c r="AL503" s="19">
        <v>0</v>
      </c>
      <c r="AM503" s="19">
        <v>0</v>
      </c>
    </row>
    <row r="504" spans="1:39" s="2" customFormat="1" ht="31.5" outlineLevel="3" x14ac:dyDescent="0.25">
      <c r="A504" s="8" t="s">
        <v>1102</v>
      </c>
      <c r="B504" s="34" t="s">
        <v>1097</v>
      </c>
      <c r="C504" s="26" t="s">
        <v>32</v>
      </c>
      <c r="D504" s="26" t="s">
        <v>118</v>
      </c>
      <c r="E504" s="20">
        <f>SUM(F504:I504)</f>
        <v>1520</v>
      </c>
      <c r="F504" s="38">
        <f>K504+P504+U504</f>
        <v>0</v>
      </c>
      <c r="G504" s="38">
        <f t="shared" si="811"/>
        <v>0</v>
      </c>
      <c r="H504" s="38">
        <f t="shared" si="812"/>
        <v>1520</v>
      </c>
      <c r="I504" s="38">
        <f t="shared" si="813"/>
        <v>0</v>
      </c>
      <c r="J504" s="18">
        <f>SUM(K504:N504)</f>
        <v>0</v>
      </c>
      <c r="K504" s="19">
        <v>0</v>
      </c>
      <c r="L504" s="19">
        <v>0</v>
      </c>
      <c r="M504" s="19">
        <v>0</v>
      </c>
      <c r="N504" s="19">
        <v>0</v>
      </c>
      <c r="O504" s="18">
        <f>Q504+R504+S504</f>
        <v>0</v>
      </c>
      <c r="P504" s="19"/>
      <c r="Q504" s="19">
        <v>0</v>
      </c>
      <c r="R504" s="19">
        <v>0</v>
      </c>
      <c r="S504" s="19">
        <v>0</v>
      </c>
      <c r="T504" s="18">
        <f>SUM(U504:X504)</f>
        <v>0</v>
      </c>
      <c r="U504" s="19"/>
      <c r="V504" s="19">
        <v>0</v>
      </c>
      <c r="W504" s="19">
        <v>0</v>
      </c>
      <c r="X504" s="19">
        <v>0</v>
      </c>
      <c r="Y504" s="18">
        <f>SUM(Z504:AC504)</f>
        <v>1520</v>
      </c>
      <c r="Z504" s="19"/>
      <c r="AA504" s="19">
        <v>0</v>
      </c>
      <c r="AB504" s="19">
        <v>1520</v>
      </c>
      <c r="AC504" s="19">
        <v>0</v>
      </c>
      <c r="AD504" s="18">
        <f>SUM(AE504:AH504)</f>
        <v>0</v>
      </c>
      <c r="AE504" s="19"/>
      <c r="AF504" s="19">
        <v>0</v>
      </c>
      <c r="AG504" s="19">
        <v>0</v>
      </c>
      <c r="AH504" s="19">
        <v>0</v>
      </c>
      <c r="AI504" s="18">
        <f>SUM(AJ504:AM504)</f>
        <v>0</v>
      </c>
      <c r="AJ504" s="19"/>
      <c r="AK504" s="19">
        <v>0</v>
      </c>
      <c r="AL504" s="19">
        <v>0</v>
      </c>
      <c r="AM504" s="19">
        <v>0</v>
      </c>
    </row>
    <row r="505" spans="1:39" s="2" customFormat="1" ht="33" customHeight="1" outlineLevel="1" x14ac:dyDescent="0.25">
      <c r="A505" s="165" t="s">
        <v>1105</v>
      </c>
      <c r="B505" s="197" t="s">
        <v>1106</v>
      </c>
      <c r="C505" s="203"/>
      <c r="D505" s="203"/>
      <c r="E505" s="20">
        <f>SUM(E506:E512)</f>
        <v>191926.1</v>
      </c>
      <c r="F505" s="20">
        <f t="shared" ref="F505:AM505" si="814">SUM(F506:F512)</f>
        <v>0</v>
      </c>
      <c r="G505" s="20">
        <f t="shared" si="814"/>
        <v>0</v>
      </c>
      <c r="H505" s="20">
        <f t="shared" si="814"/>
        <v>191926.1</v>
      </c>
      <c r="I505" s="20">
        <f t="shared" si="814"/>
        <v>0</v>
      </c>
      <c r="J505" s="20">
        <f t="shared" si="814"/>
        <v>0</v>
      </c>
      <c r="K505" s="20">
        <f t="shared" si="814"/>
        <v>0</v>
      </c>
      <c r="L505" s="20">
        <f t="shared" si="814"/>
        <v>0</v>
      </c>
      <c r="M505" s="20">
        <f t="shared" si="814"/>
        <v>0</v>
      </c>
      <c r="N505" s="20">
        <f t="shared" si="814"/>
        <v>0</v>
      </c>
      <c r="O505" s="20">
        <f t="shared" si="814"/>
        <v>0</v>
      </c>
      <c r="P505" s="20">
        <f t="shared" si="814"/>
        <v>0</v>
      </c>
      <c r="Q505" s="20">
        <f t="shared" si="814"/>
        <v>0</v>
      </c>
      <c r="R505" s="20">
        <f t="shared" si="814"/>
        <v>0</v>
      </c>
      <c r="S505" s="20">
        <f t="shared" si="814"/>
        <v>0</v>
      </c>
      <c r="T505" s="20">
        <f t="shared" si="814"/>
        <v>0</v>
      </c>
      <c r="U505" s="20">
        <f t="shared" si="814"/>
        <v>0</v>
      </c>
      <c r="V505" s="20">
        <f t="shared" si="814"/>
        <v>0</v>
      </c>
      <c r="W505" s="20">
        <f t="shared" si="814"/>
        <v>0</v>
      </c>
      <c r="X505" s="20">
        <f t="shared" si="814"/>
        <v>0</v>
      </c>
      <c r="Y505" s="20">
        <f t="shared" si="814"/>
        <v>3745.9</v>
      </c>
      <c r="Z505" s="20">
        <f t="shared" si="814"/>
        <v>0</v>
      </c>
      <c r="AA505" s="20">
        <f t="shared" si="814"/>
        <v>0</v>
      </c>
      <c r="AB505" s="20">
        <f t="shared" si="814"/>
        <v>3745.9</v>
      </c>
      <c r="AC505" s="20">
        <f t="shared" si="814"/>
        <v>0</v>
      </c>
      <c r="AD505" s="20">
        <f t="shared" si="814"/>
        <v>57034</v>
      </c>
      <c r="AE505" s="20">
        <f t="shared" si="814"/>
        <v>0</v>
      </c>
      <c r="AF505" s="20">
        <f t="shared" si="814"/>
        <v>0</v>
      </c>
      <c r="AG505" s="20">
        <f t="shared" si="814"/>
        <v>57034</v>
      </c>
      <c r="AH505" s="20">
        <f t="shared" si="814"/>
        <v>0</v>
      </c>
      <c r="AI505" s="20">
        <f t="shared" si="814"/>
        <v>131146.20000000001</v>
      </c>
      <c r="AJ505" s="20">
        <f t="shared" si="814"/>
        <v>0</v>
      </c>
      <c r="AK505" s="20">
        <f t="shared" si="814"/>
        <v>0</v>
      </c>
      <c r="AL505" s="20">
        <f t="shared" si="814"/>
        <v>131146.20000000001</v>
      </c>
      <c r="AM505" s="20">
        <f t="shared" si="814"/>
        <v>0</v>
      </c>
    </row>
    <row r="506" spans="1:39" s="2" customFormat="1" ht="63" outlineLevel="3" x14ac:dyDescent="0.25">
      <c r="A506" s="8" t="s">
        <v>1107</v>
      </c>
      <c r="B506" s="34" t="s">
        <v>1012</v>
      </c>
      <c r="C506" s="26" t="s">
        <v>32</v>
      </c>
      <c r="D506" s="26" t="s">
        <v>8</v>
      </c>
      <c r="E506" s="20">
        <f t="shared" ref="E506:E512" si="815">SUM(F506:I506)</f>
        <v>5000</v>
      </c>
      <c r="F506" s="38">
        <f t="shared" ref="F506:F512" si="816">K506+P506+U506</f>
        <v>0</v>
      </c>
      <c r="G506" s="38">
        <f t="shared" ref="G506:I507" si="817">L506+Q506+V506+AA506+AF506+AK506</f>
        <v>0</v>
      </c>
      <c r="H506" s="38">
        <f t="shared" si="817"/>
        <v>5000</v>
      </c>
      <c r="I506" s="38">
        <f t="shared" si="817"/>
        <v>0</v>
      </c>
      <c r="J506" s="18">
        <f t="shared" ref="J506:J512" si="818">SUM(K506:N506)</f>
        <v>0</v>
      </c>
      <c r="K506" s="19">
        <v>0</v>
      </c>
      <c r="L506" s="19">
        <v>0</v>
      </c>
      <c r="M506" s="19">
        <v>0</v>
      </c>
      <c r="N506" s="19">
        <v>0</v>
      </c>
      <c r="O506" s="18">
        <f t="shared" ref="O506:O512" si="819">Q506+R506+S506</f>
        <v>0</v>
      </c>
      <c r="P506" s="19"/>
      <c r="Q506" s="19">
        <v>0</v>
      </c>
      <c r="R506" s="19">
        <v>0</v>
      </c>
      <c r="S506" s="19">
        <v>0</v>
      </c>
      <c r="T506" s="18">
        <f t="shared" ref="T506:T512" si="820">SUM(U506:X506)</f>
        <v>0</v>
      </c>
      <c r="U506" s="19"/>
      <c r="V506" s="19">
        <v>0</v>
      </c>
      <c r="W506" s="19">
        <v>0</v>
      </c>
      <c r="X506" s="19">
        <v>0</v>
      </c>
      <c r="Y506" s="18">
        <f t="shared" ref="Y506:Y512" si="821">SUM(Z506:AC506)</f>
        <v>0</v>
      </c>
      <c r="Z506" s="19"/>
      <c r="AA506" s="19">
        <v>0</v>
      </c>
      <c r="AB506" s="19">
        <v>0</v>
      </c>
      <c r="AC506" s="19">
        <v>0</v>
      </c>
      <c r="AD506" s="18">
        <f t="shared" ref="AD506:AD512" si="822">SUM(AE506:AH506)</f>
        <v>5000</v>
      </c>
      <c r="AE506" s="19"/>
      <c r="AF506" s="19">
        <v>0</v>
      </c>
      <c r="AG506" s="19">
        <v>5000</v>
      </c>
      <c r="AH506" s="19">
        <v>0</v>
      </c>
      <c r="AI506" s="18">
        <f t="shared" ref="AI506:AI512" si="823">SUM(AJ506:AM506)</f>
        <v>0</v>
      </c>
      <c r="AJ506" s="19"/>
      <c r="AK506" s="19">
        <v>0</v>
      </c>
      <c r="AL506" s="19">
        <v>0</v>
      </c>
      <c r="AM506" s="19">
        <v>0</v>
      </c>
    </row>
    <row r="507" spans="1:39" s="2" customFormat="1" ht="63" outlineLevel="3" x14ac:dyDescent="0.25">
      <c r="A507" s="8" t="s">
        <v>1108</v>
      </c>
      <c r="B507" s="34" t="s">
        <v>1093</v>
      </c>
      <c r="C507" s="26" t="s">
        <v>32</v>
      </c>
      <c r="D507" s="26" t="s">
        <v>118</v>
      </c>
      <c r="E507" s="20">
        <f t="shared" si="815"/>
        <v>787.9</v>
      </c>
      <c r="F507" s="38">
        <f t="shared" si="816"/>
        <v>0</v>
      </c>
      <c r="G507" s="38">
        <f t="shared" si="817"/>
        <v>0</v>
      </c>
      <c r="H507" s="38">
        <f t="shared" si="817"/>
        <v>787.9</v>
      </c>
      <c r="I507" s="38">
        <f t="shared" si="817"/>
        <v>0</v>
      </c>
      <c r="J507" s="18">
        <f t="shared" si="818"/>
        <v>0</v>
      </c>
      <c r="K507" s="19">
        <v>0</v>
      </c>
      <c r="L507" s="19">
        <v>0</v>
      </c>
      <c r="M507" s="19">
        <v>0</v>
      </c>
      <c r="N507" s="19">
        <v>0</v>
      </c>
      <c r="O507" s="18">
        <f t="shared" si="819"/>
        <v>0</v>
      </c>
      <c r="P507" s="19"/>
      <c r="Q507" s="19">
        <v>0</v>
      </c>
      <c r="R507" s="19">
        <v>0</v>
      </c>
      <c r="S507" s="19">
        <v>0</v>
      </c>
      <c r="T507" s="18">
        <f t="shared" si="820"/>
        <v>0</v>
      </c>
      <c r="U507" s="19"/>
      <c r="V507" s="19">
        <v>0</v>
      </c>
      <c r="W507" s="19">
        <v>0</v>
      </c>
      <c r="X507" s="19">
        <v>0</v>
      </c>
      <c r="Y507" s="18">
        <f t="shared" si="821"/>
        <v>787.9</v>
      </c>
      <c r="Z507" s="19"/>
      <c r="AA507" s="19">
        <v>0</v>
      </c>
      <c r="AB507" s="19">
        <v>787.9</v>
      </c>
      <c r="AC507" s="19">
        <v>0</v>
      </c>
      <c r="AD507" s="18">
        <f t="shared" si="822"/>
        <v>0</v>
      </c>
      <c r="AE507" s="19"/>
      <c r="AF507" s="19">
        <v>0</v>
      </c>
      <c r="AG507" s="19">
        <v>0</v>
      </c>
      <c r="AH507" s="19">
        <v>0</v>
      </c>
      <c r="AI507" s="18">
        <f t="shared" si="823"/>
        <v>0</v>
      </c>
      <c r="AJ507" s="19"/>
      <c r="AK507" s="19">
        <v>0</v>
      </c>
      <c r="AL507" s="19">
        <v>0</v>
      </c>
      <c r="AM507" s="19">
        <v>0</v>
      </c>
    </row>
    <row r="508" spans="1:39" s="2" customFormat="1" ht="65.25" customHeight="1" outlineLevel="3" x14ac:dyDescent="0.25">
      <c r="A508" s="8" t="s">
        <v>1109</v>
      </c>
      <c r="B508" s="34" t="s">
        <v>1110</v>
      </c>
      <c r="C508" s="26" t="s">
        <v>32</v>
      </c>
      <c r="D508" s="26" t="s">
        <v>118</v>
      </c>
      <c r="E508" s="20">
        <f t="shared" si="815"/>
        <v>197.5</v>
      </c>
      <c r="F508" s="38">
        <f t="shared" si="816"/>
        <v>0</v>
      </c>
      <c r="G508" s="38">
        <f t="shared" ref="G508" si="824">L508+Q508+V508+AA508+AF508+AK508</f>
        <v>0</v>
      </c>
      <c r="H508" s="38">
        <f t="shared" ref="H508" si="825">M508+R508+W508+AB508+AG508+AL508</f>
        <v>197.5</v>
      </c>
      <c r="I508" s="38">
        <f t="shared" ref="I508" si="826">N508+S508+X508+AC508+AH508+AM508</f>
        <v>0</v>
      </c>
      <c r="J508" s="18">
        <f t="shared" si="818"/>
        <v>0</v>
      </c>
      <c r="K508" s="19">
        <v>0</v>
      </c>
      <c r="L508" s="19">
        <v>0</v>
      </c>
      <c r="M508" s="19">
        <v>0</v>
      </c>
      <c r="N508" s="19">
        <v>0</v>
      </c>
      <c r="O508" s="18">
        <f t="shared" si="819"/>
        <v>0</v>
      </c>
      <c r="P508" s="19"/>
      <c r="Q508" s="19">
        <v>0</v>
      </c>
      <c r="R508" s="19">
        <v>0</v>
      </c>
      <c r="S508" s="19">
        <v>0</v>
      </c>
      <c r="T508" s="18">
        <f t="shared" si="820"/>
        <v>0</v>
      </c>
      <c r="U508" s="19"/>
      <c r="V508" s="19">
        <v>0</v>
      </c>
      <c r="W508" s="19">
        <v>0</v>
      </c>
      <c r="X508" s="19">
        <v>0</v>
      </c>
      <c r="Y508" s="18">
        <f t="shared" si="821"/>
        <v>197.5</v>
      </c>
      <c r="Z508" s="19"/>
      <c r="AA508" s="19">
        <v>0</v>
      </c>
      <c r="AB508" s="19">
        <v>197.5</v>
      </c>
      <c r="AC508" s="19">
        <v>0</v>
      </c>
      <c r="AD508" s="18">
        <f t="shared" si="822"/>
        <v>0</v>
      </c>
      <c r="AE508" s="19"/>
      <c r="AF508" s="19">
        <v>0</v>
      </c>
      <c r="AG508" s="19">
        <v>0</v>
      </c>
      <c r="AH508" s="19">
        <v>0</v>
      </c>
      <c r="AI508" s="18">
        <f t="shared" si="823"/>
        <v>0</v>
      </c>
      <c r="AJ508" s="19"/>
      <c r="AK508" s="19">
        <v>0</v>
      </c>
      <c r="AL508" s="19">
        <v>0</v>
      </c>
      <c r="AM508" s="19">
        <v>0</v>
      </c>
    </row>
    <row r="509" spans="1:39" s="2" customFormat="1" ht="65.25" customHeight="1" outlineLevel="3" x14ac:dyDescent="0.25">
      <c r="A509" s="8" t="s">
        <v>1139</v>
      </c>
      <c r="B509" s="34" t="s">
        <v>1142</v>
      </c>
      <c r="C509" s="26" t="s">
        <v>32</v>
      </c>
      <c r="D509" s="26" t="s">
        <v>118</v>
      </c>
      <c r="E509" s="20">
        <f t="shared" si="815"/>
        <v>2760.5</v>
      </c>
      <c r="F509" s="38">
        <f t="shared" si="816"/>
        <v>0</v>
      </c>
      <c r="G509" s="38">
        <f t="shared" ref="G509" si="827">L509+Q509+V509+AA509+AF509+AK509</f>
        <v>0</v>
      </c>
      <c r="H509" s="38">
        <f t="shared" ref="H509" si="828">M509+R509+W509+AB509+AG509+AL509</f>
        <v>2760.5</v>
      </c>
      <c r="I509" s="38">
        <f t="shared" ref="I509" si="829">N509+S509+X509+AC509+AH509+AM509</f>
        <v>0</v>
      </c>
      <c r="J509" s="18">
        <f t="shared" si="818"/>
        <v>0</v>
      </c>
      <c r="K509" s="19">
        <v>0</v>
      </c>
      <c r="L509" s="19">
        <v>0</v>
      </c>
      <c r="M509" s="19">
        <v>0</v>
      </c>
      <c r="N509" s="19">
        <v>0</v>
      </c>
      <c r="O509" s="18">
        <f t="shared" si="819"/>
        <v>0</v>
      </c>
      <c r="P509" s="19"/>
      <c r="Q509" s="19">
        <v>0</v>
      </c>
      <c r="R509" s="19">
        <v>0</v>
      </c>
      <c r="S509" s="19">
        <v>0</v>
      </c>
      <c r="T509" s="18">
        <f t="shared" si="820"/>
        <v>0</v>
      </c>
      <c r="U509" s="19"/>
      <c r="V509" s="19">
        <v>0</v>
      </c>
      <c r="W509" s="19">
        <v>0</v>
      </c>
      <c r="X509" s="19">
        <v>0</v>
      </c>
      <c r="Y509" s="18">
        <f t="shared" si="821"/>
        <v>2760.5</v>
      </c>
      <c r="Z509" s="19"/>
      <c r="AA509" s="19">
        <v>0</v>
      </c>
      <c r="AB509" s="19">
        <v>2760.5</v>
      </c>
      <c r="AC509" s="19">
        <v>0</v>
      </c>
      <c r="AD509" s="18">
        <f t="shared" si="822"/>
        <v>0</v>
      </c>
      <c r="AE509" s="19"/>
      <c r="AF509" s="19">
        <v>0</v>
      </c>
      <c r="AG509" s="19">
        <v>0</v>
      </c>
      <c r="AH509" s="19">
        <v>0</v>
      </c>
      <c r="AI509" s="18">
        <f t="shared" si="823"/>
        <v>0</v>
      </c>
      <c r="AJ509" s="19"/>
      <c r="AK509" s="19">
        <v>0</v>
      </c>
      <c r="AL509" s="19">
        <v>0</v>
      </c>
      <c r="AM509" s="19">
        <v>0</v>
      </c>
    </row>
    <row r="510" spans="1:39" s="2" customFormat="1" ht="65.25" customHeight="1" outlineLevel="3" x14ac:dyDescent="0.25">
      <c r="A510" s="8" t="s">
        <v>1141</v>
      </c>
      <c r="B510" s="34" t="s">
        <v>1143</v>
      </c>
      <c r="C510" s="26" t="s">
        <v>32</v>
      </c>
      <c r="D510" s="26" t="s">
        <v>118</v>
      </c>
      <c r="E510" s="20">
        <f t="shared" si="815"/>
        <v>2034</v>
      </c>
      <c r="F510" s="38">
        <f t="shared" si="816"/>
        <v>0</v>
      </c>
      <c r="G510" s="38">
        <f t="shared" ref="G510:G511" si="830">L510+Q510+V510+AA510+AF510+AK510</f>
        <v>0</v>
      </c>
      <c r="H510" s="38">
        <f t="shared" ref="H510:H511" si="831">M510+R510+W510+AB510+AG510+AL510</f>
        <v>2034</v>
      </c>
      <c r="I510" s="38">
        <f t="shared" ref="I510:I511" si="832">N510+S510+X510+AC510+AH510+AM510</f>
        <v>0</v>
      </c>
      <c r="J510" s="18">
        <f t="shared" si="818"/>
        <v>0</v>
      </c>
      <c r="K510" s="19">
        <v>0</v>
      </c>
      <c r="L510" s="19">
        <v>0</v>
      </c>
      <c r="M510" s="19">
        <v>0</v>
      </c>
      <c r="N510" s="19">
        <v>0</v>
      </c>
      <c r="O510" s="18">
        <f t="shared" si="819"/>
        <v>0</v>
      </c>
      <c r="P510" s="19"/>
      <c r="Q510" s="19">
        <v>0</v>
      </c>
      <c r="R510" s="19">
        <v>0</v>
      </c>
      <c r="S510" s="19">
        <v>0</v>
      </c>
      <c r="T510" s="18">
        <f t="shared" si="820"/>
        <v>0</v>
      </c>
      <c r="U510" s="19"/>
      <c r="V510" s="19">
        <v>0</v>
      </c>
      <c r="W510" s="19">
        <v>0</v>
      </c>
      <c r="X510" s="19">
        <v>0</v>
      </c>
      <c r="Y510" s="18">
        <f t="shared" si="821"/>
        <v>0</v>
      </c>
      <c r="Z510" s="19"/>
      <c r="AA510" s="19">
        <v>0</v>
      </c>
      <c r="AB510" s="19">
        <f>2034-2034</f>
        <v>0</v>
      </c>
      <c r="AC510" s="19">
        <v>0</v>
      </c>
      <c r="AD510" s="18">
        <f t="shared" si="822"/>
        <v>2034</v>
      </c>
      <c r="AE510" s="19"/>
      <c r="AF510" s="19">
        <v>0</v>
      </c>
      <c r="AG510" s="19">
        <v>2034</v>
      </c>
      <c r="AH510" s="19">
        <v>0</v>
      </c>
      <c r="AI510" s="18">
        <f t="shared" si="823"/>
        <v>0</v>
      </c>
      <c r="AJ510" s="19"/>
      <c r="AK510" s="19">
        <v>0</v>
      </c>
      <c r="AL510" s="19">
        <v>0</v>
      </c>
      <c r="AM510" s="19">
        <v>0</v>
      </c>
    </row>
    <row r="511" spans="1:39" s="2" customFormat="1" ht="65.25" customHeight="1" outlineLevel="3" x14ac:dyDescent="0.25">
      <c r="A511" s="8" t="s">
        <v>1144</v>
      </c>
      <c r="B511" s="34" t="s">
        <v>1146</v>
      </c>
      <c r="C511" s="26" t="s">
        <v>32</v>
      </c>
      <c r="D511" s="26" t="s">
        <v>8</v>
      </c>
      <c r="E511" s="20">
        <f t="shared" si="815"/>
        <v>50000</v>
      </c>
      <c r="F511" s="38">
        <f t="shared" si="816"/>
        <v>0</v>
      </c>
      <c r="G511" s="38">
        <f t="shared" si="830"/>
        <v>0</v>
      </c>
      <c r="H511" s="38">
        <f t="shared" si="831"/>
        <v>50000</v>
      </c>
      <c r="I511" s="38">
        <f t="shared" si="832"/>
        <v>0</v>
      </c>
      <c r="J511" s="18">
        <f t="shared" si="818"/>
        <v>0</v>
      </c>
      <c r="K511" s="19">
        <v>0</v>
      </c>
      <c r="L511" s="19">
        <v>0</v>
      </c>
      <c r="M511" s="19">
        <v>0</v>
      </c>
      <c r="N511" s="19">
        <v>0</v>
      </c>
      <c r="O511" s="18">
        <f t="shared" si="819"/>
        <v>0</v>
      </c>
      <c r="P511" s="19"/>
      <c r="Q511" s="19">
        <v>0</v>
      </c>
      <c r="R511" s="19">
        <v>0</v>
      </c>
      <c r="S511" s="19">
        <v>0</v>
      </c>
      <c r="T511" s="18">
        <f t="shared" si="820"/>
        <v>0</v>
      </c>
      <c r="U511" s="19"/>
      <c r="V511" s="19">
        <v>0</v>
      </c>
      <c r="W511" s="19">
        <v>0</v>
      </c>
      <c r="X511" s="19">
        <v>0</v>
      </c>
      <c r="Y511" s="18">
        <f t="shared" si="821"/>
        <v>0</v>
      </c>
      <c r="Z511" s="19"/>
      <c r="AA511" s="19">
        <v>0</v>
      </c>
      <c r="AB511" s="19">
        <v>0</v>
      </c>
      <c r="AC511" s="19">
        <v>0</v>
      </c>
      <c r="AD511" s="18">
        <f t="shared" si="822"/>
        <v>50000</v>
      </c>
      <c r="AE511" s="19"/>
      <c r="AF511" s="19">
        <v>0</v>
      </c>
      <c r="AG511" s="19">
        <v>50000</v>
      </c>
      <c r="AH511" s="19">
        <v>0</v>
      </c>
      <c r="AI511" s="18">
        <f t="shared" si="823"/>
        <v>0</v>
      </c>
      <c r="AJ511" s="19"/>
      <c r="AK511" s="19">
        <v>0</v>
      </c>
      <c r="AL511" s="19">
        <v>0</v>
      </c>
      <c r="AM511" s="19">
        <v>0</v>
      </c>
    </row>
    <row r="512" spans="1:39" s="2" customFormat="1" ht="65.25" customHeight="1" outlineLevel="3" x14ac:dyDescent="0.25">
      <c r="A512" s="8" t="s">
        <v>1145</v>
      </c>
      <c r="B512" s="34" t="s">
        <v>1140</v>
      </c>
      <c r="C512" s="26" t="s">
        <v>32</v>
      </c>
      <c r="D512" s="26" t="s">
        <v>8</v>
      </c>
      <c r="E512" s="20">
        <f t="shared" si="815"/>
        <v>131146.20000000001</v>
      </c>
      <c r="F512" s="38">
        <f t="shared" si="816"/>
        <v>0</v>
      </c>
      <c r="G512" s="38">
        <f t="shared" ref="G512" si="833">L512+Q512+V512+AA512+AF512+AK512</f>
        <v>0</v>
      </c>
      <c r="H512" s="38">
        <f t="shared" ref="H512" si="834">M512+R512+W512+AB512+AG512+AL512</f>
        <v>131146.20000000001</v>
      </c>
      <c r="I512" s="38">
        <f t="shared" ref="I512" si="835">N512+S512+X512+AC512+AH512+AM512</f>
        <v>0</v>
      </c>
      <c r="J512" s="18">
        <f t="shared" si="818"/>
        <v>0</v>
      </c>
      <c r="K512" s="19">
        <v>0</v>
      </c>
      <c r="L512" s="19">
        <v>0</v>
      </c>
      <c r="M512" s="19">
        <v>0</v>
      </c>
      <c r="N512" s="19">
        <v>0</v>
      </c>
      <c r="O512" s="18">
        <f t="shared" si="819"/>
        <v>0</v>
      </c>
      <c r="P512" s="19"/>
      <c r="Q512" s="19">
        <v>0</v>
      </c>
      <c r="R512" s="19">
        <v>0</v>
      </c>
      <c r="S512" s="19">
        <v>0</v>
      </c>
      <c r="T512" s="18">
        <f t="shared" si="820"/>
        <v>0</v>
      </c>
      <c r="U512" s="19"/>
      <c r="V512" s="19">
        <v>0</v>
      </c>
      <c r="W512" s="19">
        <v>0</v>
      </c>
      <c r="X512" s="19">
        <v>0</v>
      </c>
      <c r="Y512" s="18">
        <f t="shared" si="821"/>
        <v>0</v>
      </c>
      <c r="Z512" s="19"/>
      <c r="AA512" s="19">
        <v>0</v>
      </c>
      <c r="AB512" s="19">
        <v>0</v>
      </c>
      <c r="AC512" s="19">
        <v>0</v>
      </c>
      <c r="AD512" s="18">
        <f t="shared" si="822"/>
        <v>0</v>
      </c>
      <c r="AE512" s="19"/>
      <c r="AF512" s="19">
        <v>0</v>
      </c>
      <c r="AG512" s="19">
        <v>0</v>
      </c>
      <c r="AH512" s="19">
        <v>0</v>
      </c>
      <c r="AI512" s="18">
        <f t="shared" si="823"/>
        <v>131146.20000000001</v>
      </c>
      <c r="AJ512" s="19"/>
      <c r="AK512" s="19">
        <v>0</v>
      </c>
      <c r="AL512" s="19">
        <v>131146.20000000001</v>
      </c>
      <c r="AM512" s="19">
        <v>0</v>
      </c>
    </row>
    <row r="513" spans="1:39" s="5" customFormat="1" ht="44.25" customHeight="1" x14ac:dyDescent="0.25">
      <c r="A513" s="165">
        <v>6</v>
      </c>
      <c r="B513" s="192" t="s">
        <v>423</v>
      </c>
      <c r="C513" s="193"/>
      <c r="D513" s="193"/>
      <c r="E513" s="18">
        <f>E514+E533+E538+E542+E545+E547+E553</f>
        <v>162142.70000000001</v>
      </c>
      <c r="F513" s="18">
        <f t="shared" ref="F513:AM513" si="836">F514+F533+F538+F542+F545+F547+F553</f>
        <v>0</v>
      </c>
      <c r="G513" s="18">
        <f>G514+G533+G538+G542+G545+G547+G553</f>
        <v>17475.099999999999</v>
      </c>
      <c r="H513" s="18">
        <f t="shared" si="836"/>
        <v>144664.60000000003</v>
      </c>
      <c r="I513" s="18">
        <f t="shared" si="836"/>
        <v>3.0000000000000004</v>
      </c>
      <c r="J513" s="18">
        <f t="shared" si="836"/>
        <v>11663.600000000002</v>
      </c>
      <c r="K513" s="18">
        <f t="shared" si="836"/>
        <v>0</v>
      </c>
      <c r="L513" s="18">
        <f t="shared" si="836"/>
        <v>0</v>
      </c>
      <c r="M513" s="18">
        <f t="shared" si="836"/>
        <v>11660.600000000002</v>
      </c>
      <c r="N513" s="18">
        <f t="shared" si="836"/>
        <v>3.0000000000000004</v>
      </c>
      <c r="O513" s="18">
        <f t="shared" si="836"/>
        <v>66877.3</v>
      </c>
      <c r="P513" s="18">
        <f t="shared" si="836"/>
        <v>0</v>
      </c>
      <c r="Q513" s="18">
        <f t="shared" si="836"/>
        <v>0</v>
      </c>
      <c r="R513" s="18">
        <f t="shared" si="836"/>
        <v>66877.3</v>
      </c>
      <c r="S513" s="18">
        <f t="shared" si="836"/>
        <v>0</v>
      </c>
      <c r="T513" s="18">
        <f t="shared" si="836"/>
        <v>83601.8</v>
      </c>
      <c r="U513" s="18">
        <f t="shared" si="836"/>
        <v>0</v>
      </c>
      <c r="V513" s="18">
        <f t="shared" si="836"/>
        <v>17475.099999999999</v>
      </c>
      <c r="W513" s="18">
        <f t="shared" si="836"/>
        <v>66126.7</v>
      </c>
      <c r="X513" s="18">
        <f t="shared" si="836"/>
        <v>0</v>
      </c>
      <c r="Y513" s="18">
        <f t="shared" si="836"/>
        <v>0</v>
      </c>
      <c r="Z513" s="18">
        <f t="shared" si="836"/>
        <v>0</v>
      </c>
      <c r="AA513" s="18">
        <f t="shared" si="836"/>
        <v>0</v>
      </c>
      <c r="AB513" s="18">
        <f t="shared" si="836"/>
        <v>0</v>
      </c>
      <c r="AC513" s="18">
        <f t="shared" si="836"/>
        <v>0</v>
      </c>
      <c r="AD513" s="18">
        <f t="shared" si="836"/>
        <v>0</v>
      </c>
      <c r="AE513" s="18">
        <f t="shared" si="836"/>
        <v>0</v>
      </c>
      <c r="AF513" s="18">
        <f t="shared" si="836"/>
        <v>0</v>
      </c>
      <c r="AG513" s="18">
        <f t="shared" si="836"/>
        <v>0</v>
      </c>
      <c r="AH513" s="18">
        <f t="shared" si="836"/>
        <v>0</v>
      </c>
      <c r="AI513" s="18">
        <f t="shared" si="836"/>
        <v>0</v>
      </c>
      <c r="AJ513" s="18">
        <f t="shared" si="836"/>
        <v>0</v>
      </c>
      <c r="AK513" s="18">
        <f t="shared" si="836"/>
        <v>0</v>
      </c>
      <c r="AL513" s="18">
        <f t="shared" si="836"/>
        <v>0</v>
      </c>
      <c r="AM513" s="18">
        <f t="shared" si="836"/>
        <v>0</v>
      </c>
    </row>
    <row r="514" spans="1:39" s="5" customFormat="1" ht="78" customHeight="1" outlineLevel="1" x14ac:dyDescent="0.25">
      <c r="A514" s="165" t="s">
        <v>119</v>
      </c>
      <c r="B514" s="194" t="s">
        <v>730</v>
      </c>
      <c r="C514" s="195"/>
      <c r="D514" s="195"/>
      <c r="E514" s="18">
        <f>SUM(E515:E532)</f>
        <v>12734.000000000002</v>
      </c>
      <c r="F514" s="18">
        <f t="shared" ref="F514:AM514" si="837">SUM(F515:F532)</f>
        <v>0</v>
      </c>
      <c r="G514" s="18">
        <f t="shared" si="837"/>
        <v>0</v>
      </c>
      <c r="H514" s="18">
        <f t="shared" si="837"/>
        <v>12734.000000000002</v>
      </c>
      <c r="I514" s="18">
        <f t="shared" si="837"/>
        <v>0</v>
      </c>
      <c r="J514" s="18">
        <f t="shared" si="837"/>
        <v>5807.1000000000013</v>
      </c>
      <c r="K514" s="18">
        <f t="shared" si="837"/>
        <v>0</v>
      </c>
      <c r="L514" s="18">
        <f t="shared" si="837"/>
        <v>0</v>
      </c>
      <c r="M514" s="18">
        <f t="shared" si="837"/>
        <v>5807.1000000000013</v>
      </c>
      <c r="N514" s="18">
        <f t="shared" si="837"/>
        <v>0</v>
      </c>
      <c r="O514" s="18">
        <f t="shared" si="837"/>
        <v>3370.8</v>
      </c>
      <c r="P514" s="18">
        <f t="shared" si="837"/>
        <v>0</v>
      </c>
      <c r="Q514" s="18">
        <f t="shared" si="837"/>
        <v>0</v>
      </c>
      <c r="R514" s="18">
        <f t="shared" si="837"/>
        <v>3370.8</v>
      </c>
      <c r="S514" s="18">
        <f t="shared" si="837"/>
        <v>0</v>
      </c>
      <c r="T514" s="18">
        <f t="shared" si="837"/>
        <v>3556.1</v>
      </c>
      <c r="U514" s="18">
        <f t="shared" si="837"/>
        <v>0</v>
      </c>
      <c r="V514" s="18">
        <f t="shared" si="837"/>
        <v>0</v>
      </c>
      <c r="W514" s="18">
        <f>SUM(W515:W532)</f>
        <v>3556.1</v>
      </c>
      <c r="X514" s="18">
        <f t="shared" si="837"/>
        <v>0</v>
      </c>
      <c r="Y514" s="18">
        <f t="shared" si="837"/>
        <v>0</v>
      </c>
      <c r="Z514" s="18">
        <f t="shared" si="837"/>
        <v>0</v>
      </c>
      <c r="AA514" s="18">
        <f t="shared" si="837"/>
        <v>0</v>
      </c>
      <c r="AB514" s="18">
        <f t="shared" si="837"/>
        <v>0</v>
      </c>
      <c r="AC514" s="18">
        <f t="shared" si="837"/>
        <v>0</v>
      </c>
      <c r="AD514" s="18">
        <f t="shared" si="837"/>
        <v>0</v>
      </c>
      <c r="AE514" s="18">
        <f t="shared" si="837"/>
        <v>0</v>
      </c>
      <c r="AF514" s="18">
        <f t="shared" si="837"/>
        <v>0</v>
      </c>
      <c r="AG514" s="18">
        <f t="shared" si="837"/>
        <v>0</v>
      </c>
      <c r="AH514" s="18">
        <f t="shared" si="837"/>
        <v>0</v>
      </c>
      <c r="AI514" s="18">
        <f t="shared" si="837"/>
        <v>0</v>
      </c>
      <c r="AJ514" s="18">
        <f t="shared" si="837"/>
        <v>0</v>
      </c>
      <c r="AK514" s="18">
        <f t="shared" si="837"/>
        <v>0</v>
      </c>
      <c r="AL514" s="18">
        <f t="shared" si="837"/>
        <v>0</v>
      </c>
      <c r="AM514" s="18">
        <f t="shared" si="837"/>
        <v>0</v>
      </c>
    </row>
    <row r="515" spans="1:39" s="2" customFormat="1" ht="31.5" outlineLevel="2" x14ac:dyDescent="0.25">
      <c r="A515" s="8" t="s">
        <v>120</v>
      </c>
      <c r="B515" s="33" t="s">
        <v>66</v>
      </c>
      <c r="C515" s="26" t="s">
        <v>32</v>
      </c>
      <c r="D515" s="26" t="s">
        <v>118</v>
      </c>
      <c r="E515" s="20">
        <f t="shared" ref="E515:E532" si="838">SUM(F515:I515)</f>
        <v>154.39999999999998</v>
      </c>
      <c r="F515" s="38">
        <f t="shared" ref="F515:F532" si="839">K515+P515+U515</f>
        <v>0</v>
      </c>
      <c r="G515" s="38">
        <f t="shared" ref="G515:H532" si="840">L515+Q515+V515+AA515+AF515+AK515</f>
        <v>0</v>
      </c>
      <c r="H515" s="38">
        <f>M515+R515+W515+AB515+AG515+AL515</f>
        <v>154.39999999999998</v>
      </c>
      <c r="I515" s="38">
        <f t="shared" ref="I515:I532" si="841">N515+S515+X515+AC515+AH515+AM515</f>
        <v>0</v>
      </c>
      <c r="J515" s="18">
        <f t="shared" ref="J515:J532" si="842">SUM(K515:N515)</f>
        <v>55.4</v>
      </c>
      <c r="K515" s="19">
        <v>0</v>
      </c>
      <c r="L515" s="38">
        <v>0</v>
      </c>
      <c r="M515" s="19">
        <v>55.4</v>
      </c>
      <c r="N515" s="38">
        <v>0</v>
      </c>
      <c r="O515" s="18">
        <f t="shared" ref="O515:O532" si="843">SUM(P515:S515)</f>
        <v>48.7</v>
      </c>
      <c r="P515" s="19">
        <v>0</v>
      </c>
      <c r="Q515" s="38">
        <v>0</v>
      </c>
      <c r="R515" s="19">
        <v>48.7</v>
      </c>
      <c r="S515" s="38">
        <v>0</v>
      </c>
      <c r="T515" s="18">
        <f t="shared" ref="T515:T532" si="844">SUM(U515:X515)</f>
        <v>50.3</v>
      </c>
      <c r="U515" s="19">
        <v>0</v>
      </c>
      <c r="V515" s="38">
        <v>0</v>
      </c>
      <c r="W515" s="108">
        <v>50.3</v>
      </c>
      <c r="X515" s="38">
        <v>0</v>
      </c>
      <c r="Y515" s="18">
        <f t="shared" ref="Y515:Y532" si="845">SUM(Z515:AC515)</f>
        <v>0</v>
      </c>
      <c r="Z515" s="19">
        <v>0</v>
      </c>
      <c r="AA515" s="38">
        <v>0</v>
      </c>
      <c r="AB515" s="38">
        <v>0</v>
      </c>
      <c r="AC515" s="38">
        <v>0</v>
      </c>
      <c r="AD515" s="18">
        <f t="shared" ref="AD515:AD532" si="846">SUM(AE515:AH515)</f>
        <v>0</v>
      </c>
      <c r="AE515" s="19">
        <v>0</v>
      </c>
      <c r="AF515" s="38">
        <v>0</v>
      </c>
      <c r="AG515" s="38">
        <v>0</v>
      </c>
      <c r="AH515" s="38">
        <v>0</v>
      </c>
      <c r="AI515" s="18">
        <f t="shared" ref="AI515:AI532" si="847">SUM(AJ515:AM515)</f>
        <v>0</v>
      </c>
      <c r="AJ515" s="19">
        <v>0</v>
      </c>
      <c r="AK515" s="38">
        <v>0</v>
      </c>
      <c r="AL515" s="38">
        <v>0</v>
      </c>
      <c r="AM515" s="38">
        <v>0</v>
      </c>
    </row>
    <row r="516" spans="1:39" ht="31.5" outlineLevel="2" x14ac:dyDescent="0.25">
      <c r="A516" s="8" t="s">
        <v>121</v>
      </c>
      <c r="B516" s="55" t="s">
        <v>59</v>
      </c>
      <c r="C516" s="26" t="s">
        <v>32</v>
      </c>
      <c r="D516" s="26" t="s">
        <v>118</v>
      </c>
      <c r="E516" s="20">
        <f t="shared" si="838"/>
        <v>822.8</v>
      </c>
      <c r="F516" s="38">
        <f t="shared" ref="F516:F523" si="848">K516+P516+U516</f>
        <v>0</v>
      </c>
      <c r="G516" s="38">
        <f t="shared" si="840"/>
        <v>0</v>
      </c>
      <c r="H516" s="38">
        <f t="shared" si="840"/>
        <v>822.8</v>
      </c>
      <c r="I516" s="38">
        <f t="shared" si="841"/>
        <v>0</v>
      </c>
      <c r="J516" s="18">
        <f t="shared" si="842"/>
        <v>320</v>
      </c>
      <c r="K516" s="19">
        <v>0</v>
      </c>
      <c r="L516" s="38">
        <v>0</v>
      </c>
      <c r="M516" s="19">
        <v>320</v>
      </c>
      <c r="N516" s="38">
        <v>0</v>
      </c>
      <c r="O516" s="18">
        <f t="shared" si="843"/>
        <v>258.3</v>
      </c>
      <c r="P516" s="19">
        <v>0</v>
      </c>
      <c r="Q516" s="38">
        <v>0</v>
      </c>
      <c r="R516" s="19">
        <v>258.3</v>
      </c>
      <c r="S516" s="38">
        <v>0</v>
      </c>
      <c r="T516" s="18">
        <f t="shared" si="844"/>
        <v>244.5</v>
      </c>
      <c r="U516" s="19">
        <v>0</v>
      </c>
      <c r="V516" s="38">
        <v>0</v>
      </c>
      <c r="W516" s="108">
        <v>244.5</v>
      </c>
      <c r="X516" s="38">
        <v>0</v>
      </c>
      <c r="Y516" s="18">
        <f t="shared" si="845"/>
        <v>0</v>
      </c>
      <c r="Z516" s="19">
        <v>0</v>
      </c>
      <c r="AA516" s="38">
        <v>0</v>
      </c>
      <c r="AB516" s="38">
        <v>0</v>
      </c>
      <c r="AC516" s="38">
        <v>0</v>
      </c>
      <c r="AD516" s="18">
        <f t="shared" si="846"/>
        <v>0</v>
      </c>
      <c r="AE516" s="19">
        <v>0</v>
      </c>
      <c r="AF516" s="38">
        <v>0</v>
      </c>
      <c r="AG516" s="38">
        <v>0</v>
      </c>
      <c r="AH516" s="38">
        <v>0</v>
      </c>
      <c r="AI516" s="18">
        <f t="shared" si="847"/>
        <v>0</v>
      </c>
      <c r="AJ516" s="19">
        <v>0</v>
      </c>
      <c r="AK516" s="38">
        <v>0</v>
      </c>
      <c r="AL516" s="38">
        <v>0</v>
      </c>
      <c r="AM516" s="38">
        <v>0</v>
      </c>
    </row>
    <row r="517" spans="1:39" ht="31.5" outlineLevel="2" x14ac:dyDescent="0.25">
      <c r="A517" s="8" t="s">
        <v>122</v>
      </c>
      <c r="B517" s="55" t="s">
        <v>49</v>
      </c>
      <c r="C517" s="26" t="s">
        <v>32</v>
      </c>
      <c r="D517" s="26" t="s">
        <v>118</v>
      </c>
      <c r="E517" s="20">
        <f t="shared" si="838"/>
        <v>1305.7</v>
      </c>
      <c r="F517" s="38">
        <f t="shared" si="848"/>
        <v>0</v>
      </c>
      <c r="G517" s="38">
        <f t="shared" si="840"/>
        <v>0</v>
      </c>
      <c r="H517" s="38">
        <f t="shared" si="840"/>
        <v>1305.7</v>
      </c>
      <c r="I517" s="38">
        <f t="shared" si="841"/>
        <v>0</v>
      </c>
      <c r="J517" s="18">
        <f t="shared" si="842"/>
        <v>470.6</v>
      </c>
      <c r="K517" s="19">
        <v>0</v>
      </c>
      <c r="L517" s="38">
        <v>0</v>
      </c>
      <c r="M517" s="19">
        <v>470.6</v>
      </c>
      <c r="N517" s="38">
        <v>0</v>
      </c>
      <c r="O517" s="18">
        <f t="shared" si="843"/>
        <v>417.8</v>
      </c>
      <c r="P517" s="19">
        <v>0</v>
      </c>
      <c r="Q517" s="38">
        <v>0</v>
      </c>
      <c r="R517" s="19">
        <v>417.8</v>
      </c>
      <c r="S517" s="38">
        <v>0</v>
      </c>
      <c r="T517" s="18">
        <f t="shared" si="844"/>
        <v>417.3</v>
      </c>
      <c r="U517" s="19">
        <v>0</v>
      </c>
      <c r="V517" s="38">
        <v>0</v>
      </c>
      <c r="W517" s="108">
        <v>417.3</v>
      </c>
      <c r="X517" s="38">
        <v>0</v>
      </c>
      <c r="Y517" s="18">
        <f t="shared" si="845"/>
        <v>0</v>
      </c>
      <c r="Z517" s="19">
        <v>0</v>
      </c>
      <c r="AA517" s="38">
        <v>0</v>
      </c>
      <c r="AB517" s="38">
        <v>0</v>
      </c>
      <c r="AC517" s="38">
        <v>0</v>
      </c>
      <c r="AD517" s="18">
        <f t="shared" si="846"/>
        <v>0</v>
      </c>
      <c r="AE517" s="19">
        <v>0</v>
      </c>
      <c r="AF517" s="38">
        <v>0</v>
      </c>
      <c r="AG517" s="38">
        <v>0</v>
      </c>
      <c r="AH517" s="38">
        <v>0</v>
      </c>
      <c r="AI517" s="18">
        <f t="shared" si="847"/>
        <v>0</v>
      </c>
      <c r="AJ517" s="19">
        <v>0</v>
      </c>
      <c r="AK517" s="38">
        <v>0</v>
      </c>
      <c r="AL517" s="38">
        <v>0</v>
      </c>
      <c r="AM517" s="38">
        <v>0</v>
      </c>
    </row>
    <row r="518" spans="1:39" s="2" customFormat="1" ht="31.5" outlineLevel="2" x14ac:dyDescent="0.25">
      <c r="A518" s="8" t="s">
        <v>123</v>
      </c>
      <c r="B518" s="33" t="s">
        <v>50</v>
      </c>
      <c r="C518" s="26" t="s">
        <v>32</v>
      </c>
      <c r="D518" s="26" t="s">
        <v>118</v>
      </c>
      <c r="E518" s="20">
        <f t="shared" si="838"/>
        <v>509.69999999999993</v>
      </c>
      <c r="F518" s="38">
        <f t="shared" si="848"/>
        <v>0</v>
      </c>
      <c r="G518" s="38">
        <f t="shared" si="840"/>
        <v>0</v>
      </c>
      <c r="H518" s="38">
        <f t="shared" si="840"/>
        <v>509.69999999999993</v>
      </c>
      <c r="I518" s="38">
        <f t="shared" si="841"/>
        <v>0</v>
      </c>
      <c r="J518" s="18">
        <f t="shared" si="842"/>
        <v>167.7</v>
      </c>
      <c r="K518" s="19">
        <v>0</v>
      </c>
      <c r="L518" s="38">
        <v>0</v>
      </c>
      <c r="M518" s="19">
        <v>167.7</v>
      </c>
      <c r="N518" s="38">
        <v>0</v>
      </c>
      <c r="O518" s="18">
        <f t="shared" si="843"/>
        <v>169.1</v>
      </c>
      <c r="P518" s="19">
        <v>0</v>
      </c>
      <c r="Q518" s="38">
        <v>0</v>
      </c>
      <c r="R518" s="19">
        <v>169.1</v>
      </c>
      <c r="S518" s="38">
        <v>0</v>
      </c>
      <c r="T518" s="18">
        <f t="shared" si="844"/>
        <v>172.9</v>
      </c>
      <c r="U518" s="19">
        <v>0</v>
      </c>
      <c r="V518" s="38">
        <v>0</v>
      </c>
      <c r="W518" s="108">
        <v>172.9</v>
      </c>
      <c r="X518" s="38">
        <v>0</v>
      </c>
      <c r="Y518" s="18">
        <f t="shared" si="845"/>
        <v>0</v>
      </c>
      <c r="Z518" s="19">
        <v>0</v>
      </c>
      <c r="AA518" s="38">
        <v>0</v>
      </c>
      <c r="AB518" s="38">
        <v>0</v>
      </c>
      <c r="AC518" s="38">
        <v>0</v>
      </c>
      <c r="AD518" s="18">
        <f t="shared" si="846"/>
        <v>0</v>
      </c>
      <c r="AE518" s="19">
        <v>0</v>
      </c>
      <c r="AF518" s="38">
        <v>0</v>
      </c>
      <c r="AG518" s="38">
        <v>0</v>
      </c>
      <c r="AH518" s="38">
        <v>0</v>
      </c>
      <c r="AI518" s="18">
        <f t="shared" si="847"/>
        <v>0</v>
      </c>
      <c r="AJ518" s="19">
        <v>0</v>
      </c>
      <c r="AK518" s="38">
        <v>0</v>
      </c>
      <c r="AL518" s="38">
        <v>0</v>
      </c>
      <c r="AM518" s="38">
        <v>0</v>
      </c>
    </row>
    <row r="519" spans="1:39" ht="31.5" outlineLevel="2" x14ac:dyDescent="0.25">
      <c r="A519" s="8" t="s">
        <v>124</v>
      </c>
      <c r="B519" s="55" t="s">
        <v>65</v>
      </c>
      <c r="C519" s="26" t="s">
        <v>32</v>
      </c>
      <c r="D519" s="26" t="s">
        <v>118</v>
      </c>
      <c r="E519" s="20">
        <f t="shared" si="838"/>
        <v>133.5</v>
      </c>
      <c r="F519" s="38">
        <f t="shared" si="848"/>
        <v>0</v>
      </c>
      <c r="G519" s="38">
        <f t="shared" si="840"/>
        <v>0</v>
      </c>
      <c r="H519" s="38">
        <f t="shared" si="840"/>
        <v>133.5</v>
      </c>
      <c r="I519" s="38">
        <f t="shared" si="841"/>
        <v>0</v>
      </c>
      <c r="J519" s="18">
        <f t="shared" si="842"/>
        <v>0</v>
      </c>
      <c r="K519" s="19">
        <v>0</v>
      </c>
      <c r="L519" s="38">
        <v>0</v>
      </c>
      <c r="M519" s="19">
        <v>0</v>
      </c>
      <c r="N519" s="38">
        <v>0</v>
      </c>
      <c r="O519" s="18">
        <f t="shared" si="843"/>
        <v>0</v>
      </c>
      <c r="P519" s="19">
        <v>0</v>
      </c>
      <c r="Q519" s="38">
        <v>0</v>
      </c>
      <c r="R519" s="19">
        <f>130.1-130.1</f>
        <v>0</v>
      </c>
      <c r="S519" s="38">
        <v>0</v>
      </c>
      <c r="T519" s="18">
        <f t="shared" si="844"/>
        <v>133.5</v>
      </c>
      <c r="U519" s="19">
        <v>0</v>
      </c>
      <c r="V519" s="38">
        <v>0</v>
      </c>
      <c r="W519" s="108">
        <v>133.5</v>
      </c>
      <c r="X519" s="38">
        <v>0</v>
      </c>
      <c r="Y519" s="18">
        <f t="shared" si="845"/>
        <v>0</v>
      </c>
      <c r="Z519" s="19">
        <v>0</v>
      </c>
      <c r="AA519" s="38">
        <v>0</v>
      </c>
      <c r="AB519" s="38">
        <v>0</v>
      </c>
      <c r="AC519" s="38">
        <v>0</v>
      </c>
      <c r="AD519" s="18">
        <f t="shared" si="846"/>
        <v>0</v>
      </c>
      <c r="AE519" s="19">
        <v>0</v>
      </c>
      <c r="AF519" s="38">
        <v>0</v>
      </c>
      <c r="AG519" s="38">
        <v>0</v>
      </c>
      <c r="AH519" s="38">
        <v>0</v>
      </c>
      <c r="AI519" s="18">
        <f t="shared" si="847"/>
        <v>0</v>
      </c>
      <c r="AJ519" s="19">
        <v>0</v>
      </c>
      <c r="AK519" s="38">
        <v>0</v>
      </c>
      <c r="AL519" s="38">
        <v>0</v>
      </c>
      <c r="AM519" s="38">
        <v>0</v>
      </c>
    </row>
    <row r="520" spans="1:39" ht="31.5" outlineLevel="2" x14ac:dyDescent="0.25">
      <c r="A520" s="8" t="s">
        <v>125</v>
      </c>
      <c r="B520" s="55" t="s">
        <v>51</v>
      </c>
      <c r="C520" s="26" t="s">
        <v>32</v>
      </c>
      <c r="D520" s="26" t="s">
        <v>118</v>
      </c>
      <c r="E520" s="20">
        <f>SUM(F520:I520)</f>
        <v>97.2</v>
      </c>
      <c r="F520" s="38">
        <f t="shared" si="848"/>
        <v>0</v>
      </c>
      <c r="G520" s="38">
        <f>L520+Q520+V520+AA520+AF520+AK520</f>
        <v>0</v>
      </c>
      <c r="H520" s="38">
        <f>M520+R520+W520+AB520+AG520+AL520</f>
        <v>97.2</v>
      </c>
      <c r="I520" s="38">
        <f>N520+S520+X520+AC520+AH520+AM520</f>
        <v>0</v>
      </c>
      <c r="J520" s="18">
        <f>SUM(K520:N520)</f>
        <v>0</v>
      </c>
      <c r="K520" s="19">
        <v>0</v>
      </c>
      <c r="L520" s="38">
        <v>0</v>
      </c>
      <c r="M520" s="19">
        <v>0</v>
      </c>
      <c r="N520" s="38">
        <v>0</v>
      </c>
      <c r="O520" s="18">
        <f>SUM(P520:S520)</f>
        <v>0</v>
      </c>
      <c r="P520" s="19">
        <v>0</v>
      </c>
      <c r="Q520" s="38">
        <v>0</v>
      </c>
      <c r="R520" s="19"/>
      <c r="S520" s="38">
        <v>0</v>
      </c>
      <c r="T520" s="18">
        <f>SUM(U520:X520)</f>
        <v>97.2</v>
      </c>
      <c r="U520" s="19">
        <v>0</v>
      </c>
      <c r="V520" s="38">
        <v>0</v>
      </c>
      <c r="W520" s="108">
        <v>97.2</v>
      </c>
      <c r="X520" s="38">
        <v>0</v>
      </c>
      <c r="Y520" s="18">
        <f>SUM(Z520:AC520)</f>
        <v>0</v>
      </c>
      <c r="Z520" s="19">
        <v>0</v>
      </c>
      <c r="AA520" s="38">
        <v>0</v>
      </c>
      <c r="AB520" s="38">
        <v>0</v>
      </c>
      <c r="AC520" s="38">
        <v>0</v>
      </c>
      <c r="AD520" s="18">
        <f>SUM(AE520:AH520)</f>
        <v>0</v>
      </c>
      <c r="AE520" s="19">
        <v>0</v>
      </c>
      <c r="AF520" s="38">
        <v>0</v>
      </c>
      <c r="AG520" s="38">
        <v>0</v>
      </c>
      <c r="AH520" s="38">
        <v>0</v>
      </c>
      <c r="AI520" s="18">
        <f>SUM(AJ520:AM520)</f>
        <v>0</v>
      </c>
      <c r="AJ520" s="19">
        <v>0</v>
      </c>
      <c r="AK520" s="38">
        <v>0</v>
      </c>
      <c r="AL520" s="38">
        <v>0</v>
      </c>
      <c r="AM520" s="38">
        <v>0</v>
      </c>
    </row>
    <row r="521" spans="1:39" s="2" customFormat="1" ht="31.5" outlineLevel="2" x14ac:dyDescent="0.25">
      <c r="A521" s="8" t="s">
        <v>126</v>
      </c>
      <c r="B521" s="33" t="s">
        <v>52</v>
      </c>
      <c r="C521" s="26" t="s">
        <v>32</v>
      </c>
      <c r="D521" s="26" t="s">
        <v>118</v>
      </c>
      <c r="E521" s="20">
        <f t="shared" si="838"/>
        <v>757.9</v>
      </c>
      <c r="F521" s="38">
        <f t="shared" si="848"/>
        <v>0</v>
      </c>
      <c r="G521" s="38">
        <f t="shared" si="840"/>
        <v>0</v>
      </c>
      <c r="H521" s="38">
        <f t="shared" si="840"/>
        <v>757.9</v>
      </c>
      <c r="I521" s="38">
        <f t="shared" si="841"/>
        <v>0</v>
      </c>
      <c r="J521" s="18">
        <f t="shared" si="842"/>
        <v>252.9</v>
      </c>
      <c r="K521" s="19">
        <v>0</v>
      </c>
      <c r="L521" s="38">
        <v>0</v>
      </c>
      <c r="M521" s="19">
        <v>252.9</v>
      </c>
      <c r="N521" s="38">
        <v>0</v>
      </c>
      <c r="O521" s="18">
        <f t="shared" si="843"/>
        <v>254.9</v>
      </c>
      <c r="P521" s="19">
        <v>0</v>
      </c>
      <c r="Q521" s="38">
        <v>0</v>
      </c>
      <c r="R521" s="19">
        <v>254.9</v>
      </c>
      <c r="S521" s="38">
        <v>0</v>
      </c>
      <c r="T521" s="18">
        <f t="shared" si="844"/>
        <v>250.1</v>
      </c>
      <c r="U521" s="19">
        <v>0</v>
      </c>
      <c r="V521" s="38">
        <v>0</v>
      </c>
      <c r="W521" s="108">
        <v>250.1</v>
      </c>
      <c r="X521" s="38">
        <v>0</v>
      </c>
      <c r="Y521" s="18">
        <f t="shared" si="845"/>
        <v>0</v>
      </c>
      <c r="Z521" s="19">
        <v>0</v>
      </c>
      <c r="AA521" s="38">
        <v>0</v>
      </c>
      <c r="AB521" s="38">
        <v>0</v>
      </c>
      <c r="AC521" s="38">
        <v>0</v>
      </c>
      <c r="AD521" s="18">
        <f t="shared" si="846"/>
        <v>0</v>
      </c>
      <c r="AE521" s="19">
        <v>0</v>
      </c>
      <c r="AF521" s="38">
        <v>0</v>
      </c>
      <c r="AG521" s="38">
        <v>0</v>
      </c>
      <c r="AH521" s="38">
        <v>0</v>
      </c>
      <c r="AI521" s="18">
        <f t="shared" si="847"/>
        <v>0</v>
      </c>
      <c r="AJ521" s="19">
        <v>0</v>
      </c>
      <c r="AK521" s="38">
        <v>0</v>
      </c>
      <c r="AL521" s="38">
        <v>0</v>
      </c>
      <c r="AM521" s="38">
        <v>0</v>
      </c>
    </row>
    <row r="522" spans="1:39" s="2" customFormat="1" ht="31.5" outlineLevel="2" x14ac:dyDescent="0.25">
      <c r="A522" s="8" t="s">
        <v>127</v>
      </c>
      <c r="B522" s="33" t="s">
        <v>64</v>
      </c>
      <c r="C522" s="26" t="s">
        <v>32</v>
      </c>
      <c r="D522" s="26" t="s">
        <v>118</v>
      </c>
      <c r="E522" s="20">
        <f t="shared" si="838"/>
        <v>749.8</v>
      </c>
      <c r="F522" s="38">
        <f t="shared" si="848"/>
        <v>0</v>
      </c>
      <c r="G522" s="38">
        <f t="shared" si="840"/>
        <v>0</v>
      </c>
      <c r="H522" s="38">
        <f t="shared" si="840"/>
        <v>749.8</v>
      </c>
      <c r="I522" s="38">
        <f t="shared" si="841"/>
        <v>0</v>
      </c>
      <c r="J522" s="18">
        <f t="shared" si="842"/>
        <v>252.9</v>
      </c>
      <c r="K522" s="19">
        <v>0</v>
      </c>
      <c r="L522" s="38">
        <v>0</v>
      </c>
      <c r="M522" s="19">
        <v>252.9</v>
      </c>
      <c r="N522" s="38">
        <v>0</v>
      </c>
      <c r="O522" s="18">
        <f t="shared" si="843"/>
        <v>251.2</v>
      </c>
      <c r="P522" s="19">
        <v>0</v>
      </c>
      <c r="Q522" s="38">
        <v>0</v>
      </c>
      <c r="R522" s="19">
        <v>251.2</v>
      </c>
      <c r="S522" s="38">
        <v>0</v>
      </c>
      <c r="T522" s="18">
        <f t="shared" si="844"/>
        <v>245.7</v>
      </c>
      <c r="U522" s="19">
        <v>0</v>
      </c>
      <c r="V522" s="38">
        <v>0</v>
      </c>
      <c r="W522" s="108">
        <v>245.7</v>
      </c>
      <c r="X522" s="38">
        <v>0</v>
      </c>
      <c r="Y522" s="18">
        <f t="shared" si="845"/>
        <v>0</v>
      </c>
      <c r="Z522" s="19">
        <v>0</v>
      </c>
      <c r="AA522" s="38">
        <v>0</v>
      </c>
      <c r="AB522" s="38">
        <v>0</v>
      </c>
      <c r="AC522" s="38">
        <v>0</v>
      </c>
      <c r="AD522" s="18">
        <f t="shared" si="846"/>
        <v>0</v>
      </c>
      <c r="AE522" s="19">
        <v>0</v>
      </c>
      <c r="AF522" s="38">
        <v>0</v>
      </c>
      <c r="AG522" s="38">
        <v>0</v>
      </c>
      <c r="AH522" s="38">
        <v>0</v>
      </c>
      <c r="AI522" s="18">
        <f t="shared" si="847"/>
        <v>0</v>
      </c>
      <c r="AJ522" s="19">
        <v>0</v>
      </c>
      <c r="AK522" s="38">
        <v>0</v>
      </c>
      <c r="AL522" s="38">
        <v>0</v>
      </c>
      <c r="AM522" s="38">
        <v>0</v>
      </c>
    </row>
    <row r="523" spans="1:39" s="2" customFormat="1" ht="31.5" outlineLevel="2" x14ac:dyDescent="0.25">
      <c r="A523" s="8" t="s">
        <v>128</v>
      </c>
      <c r="B523" s="33" t="s">
        <v>53</v>
      </c>
      <c r="C523" s="26" t="s">
        <v>32</v>
      </c>
      <c r="D523" s="26" t="s">
        <v>118</v>
      </c>
      <c r="E523" s="20">
        <f t="shared" si="838"/>
        <v>791.5</v>
      </c>
      <c r="F523" s="38">
        <f t="shared" si="848"/>
        <v>0</v>
      </c>
      <c r="G523" s="38">
        <f t="shared" si="840"/>
        <v>0</v>
      </c>
      <c r="H523" s="38">
        <f t="shared" si="840"/>
        <v>791.5</v>
      </c>
      <c r="I523" s="38">
        <f t="shared" si="841"/>
        <v>0</v>
      </c>
      <c r="J523" s="18">
        <f t="shared" si="842"/>
        <v>274.7</v>
      </c>
      <c r="K523" s="19">
        <v>0</v>
      </c>
      <c r="L523" s="38">
        <v>0</v>
      </c>
      <c r="M523" s="19">
        <v>274.7</v>
      </c>
      <c r="N523" s="38">
        <v>0</v>
      </c>
      <c r="O523" s="18">
        <f t="shared" si="843"/>
        <v>263.3</v>
      </c>
      <c r="P523" s="19">
        <v>0</v>
      </c>
      <c r="Q523" s="38">
        <v>0</v>
      </c>
      <c r="R523" s="19">
        <v>263.3</v>
      </c>
      <c r="S523" s="38">
        <v>0</v>
      </c>
      <c r="T523" s="18">
        <f t="shared" si="844"/>
        <v>253.5</v>
      </c>
      <c r="U523" s="19">
        <v>0</v>
      </c>
      <c r="V523" s="38">
        <v>0</v>
      </c>
      <c r="W523" s="108">
        <v>253.5</v>
      </c>
      <c r="X523" s="38">
        <v>0</v>
      </c>
      <c r="Y523" s="18">
        <f t="shared" si="845"/>
        <v>0</v>
      </c>
      <c r="Z523" s="19">
        <v>0</v>
      </c>
      <c r="AA523" s="38">
        <v>0</v>
      </c>
      <c r="AB523" s="38">
        <v>0</v>
      </c>
      <c r="AC523" s="38">
        <v>0</v>
      </c>
      <c r="AD523" s="18">
        <f t="shared" si="846"/>
        <v>0</v>
      </c>
      <c r="AE523" s="19">
        <v>0</v>
      </c>
      <c r="AF523" s="38">
        <v>0</v>
      </c>
      <c r="AG523" s="38">
        <v>0</v>
      </c>
      <c r="AH523" s="38">
        <v>0</v>
      </c>
      <c r="AI523" s="18">
        <f t="shared" si="847"/>
        <v>0</v>
      </c>
      <c r="AJ523" s="19">
        <v>0</v>
      </c>
      <c r="AK523" s="38">
        <v>0</v>
      </c>
      <c r="AL523" s="38">
        <v>0</v>
      </c>
      <c r="AM523" s="38">
        <v>0</v>
      </c>
    </row>
    <row r="524" spans="1:39" s="2" customFormat="1" ht="31.5" outlineLevel="2" x14ac:dyDescent="0.25">
      <c r="A524" s="8" t="s">
        <v>129</v>
      </c>
      <c r="B524" s="33" t="s">
        <v>23</v>
      </c>
      <c r="C524" s="26" t="s">
        <v>32</v>
      </c>
      <c r="D524" s="26" t="s">
        <v>118</v>
      </c>
      <c r="E524" s="20">
        <f t="shared" si="838"/>
        <v>2279.6999999999998</v>
      </c>
      <c r="F524" s="38">
        <f t="shared" si="839"/>
        <v>0</v>
      </c>
      <c r="G524" s="38">
        <f t="shared" si="840"/>
        <v>0</v>
      </c>
      <c r="H524" s="38">
        <f t="shared" si="840"/>
        <v>2279.6999999999998</v>
      </c>
      <c r="I524" s="38">
        <f t="shared" si="841"/>
        <v>0</v>
      </c>
      <c r="J524" s="18">
        <f t="shared" si="842"/>
        <v>2279.6999999999998</v>
      </c>
      <c r="K524" s="19">
        <v>0</v>
      </c>
      <c r="L524" s="38">
        <v>0</v>
      </c>
      <c r="M524" s="19">
        <v>2279.6999999999998</v>
      </c>
      <c r="N524" s="38">
        <v>0</v>
      </c>
      <c r="O524" s="18">
        <f t="shared" si="843"/>
        <v>0</v>
      </c>
      <c r="P524" s="19">
        <v>0</v>
      </c>
      <c r="Q524" s="38">
        <v>0</v>
      </c>
      <c r="R524" s="19">
        <f>2239.5-2239.5</f>
        <v>0</v>
      </c>
      <c r="S524" s="38">
        <v>0</v>
      </c>
      <c r="T524" s="18">
        <f t="shared" si="844"/>
        <v>0</v>
      </c>
      <c r="U524" s="19">
        <v>0</v>
      </c>
      <c r="V524" s="38">
        <v>0</v>
      </c>
      <c r="W524" s="19">
        <v>0</v>
      </c>
      <c r="X524" s="38">
        <v>0</v>
      </c>
      <c r="Y524" s="18">
        <f t="shared" si="845"/>
        <v>0</v>
      </c>
      <c r="Z524" s="19">
        <v>0</v>
      </c>
      <c r="AA524" s="38">
        <v>0</v>
      </c>
      <c r="AB524" s="38">
        <v>0</v>
      </c>
      <c r="AC524" s="38">
        <v>0</v>
      </c>
      <c r="AD524" s="18">
        <f t="shared" si="846"/>
        <v>0</v>
      </c>
      <c r="AE524" s="19">
        <v>0</v>
      </c>
      <c r="AF524" s="38">
        <v>0</v>
      </c>
      <c r="AG524" s="38">
        <v>0</v>
      </c>
      <c r="AH524" s="38">
        <v>0</v>
      </c>
      <c r="AI524" s="18">
        <f t="shared" si="847"/>
        <v>0</v>
      </c>
      <c r="AJ524" s="19">
        <v>0</v>
      </c>
      <c r="AK524" s="38">
        <v>0</v>
      </c>
      <c r="AL524" s="38">
        <v>0</v>
      </c>
      <c r="AM524" s="38">
        <v>0</v>
      </c>
    </row>
    <row r="525" spans="1:39" s="2" customFormat="1" ht="31.5" outlineLevel="2" x14ac:dyDescent="0.25">
      <c r="A525" s="8" t="s">
        <v>130</v>
      </c>
      <c r="B525" s="33" t="s">
        <v>62</v>
      </c>
      <c r="C525" s="26" t="s">
        <v>32</v>
      </c>
      <c r="D525" s="26" t="s">
        <v>118</v>
      </c>
      <c r="E525" s="20">
        <f t="shared" si="838"/>
        <v>1468.5</v>
      </c>
      <c r="F525" s="38">
        <f t="shared" si="839"/>
        <v>0</v>
      </c>
      <c r="G525" s="38">
        <f t="shared" si="840"/>
        <v>0</v>
      </c>
      <c r="H525" s="38">
        <f t="shared" si="840"/>
        <v>1468.5</v>
      </c>
      <c r="I525" s="38">
        <f t="shared" si="841"/>
        <v>0</v>
      </c>
      <c r="J525" s="18">
        <f t="shared" si="842"/>
        <v>494.7</v>
      </c>
      <c r="K525" s="19">
        <v>0</v>
      </c>
      <c r="L525" s="38">
        <v>0</v>
      </c>
      <c r="M525" s="19">
        <v>494.7</v>
      </c>
      <c r="N525" s="38">
        <v>0</v>
      </c>
      <c r="O525" s="18">
        <f t="shared" si="843"/>
        <v>488.3</v>
      </c>
      <c r="P525" s="19">
        <v>0</v>
      </c>
      <c r="Q525" s="38">
        <v>0</v>
      </c>
      <c r="R525" s="19">
        <v>488.3</v>
      </c>
      <c r="S525" s="38">
        <v>0</v>
      </c>
      <c r="T525" s="18">
        <f t="shared" si="844"/>
        <v>485.5</v>
      </c>
      <c r="U525" s="19">
        <v>0</v>
      </c>
      <c r="V525" s="38">
        <v>0</v>
      </c>
      <c r="W525" s="108">
        <v>485.5</v>
      </c>
      <c r="X525" s="38">
        <v>0</v>
      </c>
      <c r="Y525" s="18">
        <f t="shared" si="845"/>
        <v>0</v>
      </c>
      <c r="Z525" s="19">
        <v>0</v>
      </c>
      <c r="AA525" s="38">
        <v>0</v>
      </c>
      <c r="AB525" s="38">
        <v>0</v>
      </c>
      <c r="AC525" s="38">
        <v>0</v>
      </c>
      <c r="AD525" s="18">
        <f t="shared" si="846"/>
        <v>0</v>
      </c>
      <c r="AE525" s="19">
        <v>0</v>
      </c>
      <c r="AF525" s="38">
        <v>0</v>
      </c>
      <c r="AG525" s="38">
        <v>0</v>
      </c>
      <c r="AH525" s="38">
        <v>0</v>
      </c>
      <c r="AI525" s="18">
        <f t="shared" si="847"/>
        <v>0</v>
      </c>
      <c r="AJ525" s="19">
        <v>0</v>
      </c>
      <c r="AK525" s="38">
        <v>0</v>
      </c>
      <c r="AL525" s="38">
        <v>0</v>
      </c>
      <c r="AM525" s="38">
        <v>0</v>
      </c>
    </row>
    <row r="526" spans="1:39" s="2" customFormat="1" ht="31.5" outlineLevel="2" x14ac:dyDescent="0.25">
      <c r="A526" s="8" t="s">
        <v>131</v>
      </c>
      <c r="B526" s="33" t="s">
        <v>60</v>
      </c>
      <c r="C526" s="26" t="s">
        <v>32</v>
      </c>
      <c r="D526" s="26" t="s">
        <v>118</v>
      </c>
      <c r="E526" s="20">
        <f t="shared" si="838"/>
        <v>551.20000000000005</v>
      </c>
      <c r="F526" s="38">
        <f t="shared" si="839"/>
        <v>0</v>
      </c>
      <c r="G526" s="38">
        <f t="shared" si="840"/>
        <v>0</v>
      </c>
      <c r="H526" s="38">
        <f t="shared" si="840"/>
        <v>551.20000000000005</v>
      </c>
      <c r="I526" s="38">
        <f t="shared" si="841"/>
        <v>0</v>
      </c>
      <c r="J526" s="18">
        <f t="shared" si="842"/>
        <v>189.6</v>
      </c>
      <c r="K526" s="19">
        <v>0</v>
      </c>
      <c r="L526" s="38">
        <v>0</v>
      </c>
      <c r="M526" s="19">
        <v>189.6</v>
      </c>
      <c r="N526" s="38">
        <v>0</v>
      </c>
      <c r="O526" s="18">
        <f t="shared" si="843"/>
        <v>179.4</v>
      </c>
      <c r="P526" s="19">
        <v>0</v>
      </c>
      <c r="Q526" s="38">
        <v>0</v>
      </c>
      <c r="R526" s="19">
        <v>179.4</v>
      </c>
      <c r="S526" s="38">
        <v>0</v>
      </c>
      <c r="T526" s="18">
        <f t="shared" si="844"/>
        <v>182.2</v>
      </c>
      <c r="U526" s="19">
        <v>0</v>
      </c>
      <c r="V526" s="38">
        <v>0</v>
      </c>
      <c r="W526" s="108">
        <v>182.2</v>
      </c>
      <c r="X526" s="38">
        <v>0</v>
      </c>
      <c r="Y526" s="18">
        <f t="shared" si="845"/>
        <v>0</v>
      </c>
      <c r="Z526" s="19">
        <v>0</v>
      </c>
      <c r="AA526" s="38">
        <v>0</v>
      </c>
      <c r="AB526" s="38">
        <v>0</v>
      </c>
      <c r="AC526" s="38">
        <v>0</v>
      </c>
      <c r="AD526" s="18">
        <f t="shared" si="846"/>
        <v>0</v>
      </c>
      <c r="AE526" s="19">
        <v>0</v>
      </c>
      <c r="AF526" s="38">
        <v>0</v>
      </c>
      <c r="AG526" s="38">
        <v>0</v>
      </c>
      <c r="AH526" s="38">
        <v>0</v>
      </c>
      <c r="AI526" s="18">
        <f t="shared" si="847"/>
        <v>0</v>
      </c>
      <c r="AJ526" s="19">
        <v>0</v>
      </c>
      <c r="AK526" s="38">
        <v>0</v>
      </c>
      <c r="AL526" s="38">
        <v>0</v>
      </c>
      <c r="AM526" s="38">
        <v>0</v>
      </c>
    </row>
    <row r="527" spans="1:39" s="2" customFormat="1" ht="31.5" outlineLevel="2" x14ac:dyDescent="0.25">
      <c r="A527" s="8" t="s">
        <v>132</v>
      </c>
      <c r="B527" s="33" t="s">
        <v>61</v>
      </c>
      <c r="C527" s="26" t="s">
        <v>32</v>
      </c>
      <c r="D527" s="26" t="s">
        <v>118</v>
      </c>
      <c r="E527" s="20">
        <f t="shared" si="838"/>
        <v>554.30000000000007</v>
      </c>
      <c r="F527" s="38">
        <f t="shared" si="839"/>
        <v>0</v>
      </c>
      <c r="G527" s="38">
        <f t="shared" si="840"/>
        <v>0</v>
      </c>
      <c r="H527" s="38">
        <f t="shared" si="840"/>
        <v>554.30000000000007</v>
      </c>
      <c r="I527" s="38">
        <f t="shared" si="841"/>
        <v>0</v>
      </c>
      <c r="J527" s="18">
        <f t="shared" si="842"/>
        <v>183.3</v>
      </c>
      <c r="K527" s="19">
        <v>0</v>
      </c>
      <c r="L527" s="38">
        <v>0</v>
      </c>
      <c r="M527" s="19">
        <v>183.3</v>
      </c>
      <c r="N527" s="38">
        <v>0</v>
      </c>
      <c r="O527" s="18">
        <f t="shared" si="843"/>
        <v>188.4</v>
      </c>
      <c r="P527" s="19">
        <v>0</v>
      </c>
      <c r="Q527" s="38">
        <v>0</v>
      </c>
      <c r="R527" s="19">
        <v>188.4</v>
      </c>
      <c r="S527" s="38">
        <v>0</v>
      </c>
      <c r="T527" s="18">
        <f t="shared" si="844"/>
        <v>182.6</v>
      </c>
      <c r="U527" s="19">
        <v>0</v>
      </c>
      <c r="V527" s="38">
        <v>0</v>
      </c>
      <c r="W527" s="108">
        <v>182.6</v>
      </c>
      <c r="X527" s="38">
        <v>0</v>
      </c>
      <c r="Y527" s="18">
        <f t="shared" si="845"/>
        <v>0</v>
      </c>
      <c r="Z527" s="19">
        <v>0</v>
      </c>
      <c r="AA527" s="38">
        <v>0</v>
      </c>
      <c r="AB527" s="38">
        <v>0</v>
      </c>
      <c r="AC527" s="38">
        <v>0</v>
      </c>
      <c r="AD527" s="18">
        <f t="shared" si="846"/>
        <v>0</v>
      </c>
      <c r="AE527" s="19">
        <v>0</v>
      </c>
      <c r="AF527" s="38">
        <v>0</v>
      </c>
      <c r="AG527" s="38">
        <v>0</v>
      </c>
      <c r="AH527" s="38">
        <v>0</v>
      </c>
      <c r="AI527" s="18">
        <f t="shared" si="847"/>
        <v>0</v>
      </c>
      <c r="AJ527" s="19">
        <v>0</v>
      </c>
      <c r="AK527" s="38">
        <v>0</v>
      </c>
      <c r="AL527" s="38">
        <v>0</v>
      </c>
      <c r="AM527" s="38">
        <v>0</v>
      </c>
    </row>
    <row r="528" spans="1:39" s="2" customFormat="1" ht="31.5" outlineLevel="2" x14ac:dyDescent="0.25">
      <c r="A528" s="8" t="s">
        <v>133</v>
      </c>
      <c r="B528" s="33" t="s">
        <v>54</v>
      </c>
      <c r="C528" s="26" t="s">
        <v>32</v>
      </c>
      <c r="D528" s="26" t="s">
        <v>118</v>
      </c>
      <c r="E528" s="20">
        <f t="shared" si="838"/>
        <v>684.5</v>
      </c>
      <c r="F528" s="38">
        <f t="shared" si="839"/>
        <v>0</v>
      </c>
      <c r="G528" s="38">
        <f t="shared" si="840"/>
        <v>0</v>
      </c>
      <c r="H528" s="38">
        <f t="shared" si="840"/>
        <v>684.5</v>
      </c>
      <c r="I528" s="38">
        <f t="shared" si="841"/>
        <v>0</v>
      </c>
      <c r="J528" s="18">
        <f t="shared" si="842"/>
        <v>235.8</v>
      </c>
      <c r="K528" s="19">
        <v>0</v>
      </c>
      <c r="L528" s="38">
        <v>0</v>
      </c>
      <c r="M528" s="19">
        <v>235.8</v>
      </c>
      <c r="N528" s="38">
        <v>0</v>
      </c>
      <c r="O528" s="18">
        <f t="shared" si="843"/>
        <v>226.8</v>
      </c>
      <c r="P528" s="19">
        <v>0</v>
      </c>
      <c r="Q528" s="38">
        <v>0</v>
      </c>
      <c r="R528" s="19">
        <v>226.8</v>
      </c>
      <c r="S528" s="38">
        <v>0</v>
      </c>
      <c r="T528" s="18">
        <f t="shared" si="844"/>
        <v>221.9</v>
      </c>
      <c r="U528" s="19">
        <v>0</v>
      </c>
      <c r="V528" s="38">
        <v>0</v>
      </c>
      <c r="W528" s="108">
        <v>221.9</v>
      </c>
      <c r="X528" s="38">
        <v>0</v>
      </c>
      <c r="Y528" s="18">
        <f t="shared" si="845"/>
        <v>0</v>
      </c>
      <c r="Z528" s="19">
        <v>0</v>
      </c>
      <c r="AA528" s="38">
        <v>0</v>
      </c>
      <c r="AB528" s="38">
        <v>0</v>
      </c>
      <c r="AC528" s="38">
        <v>0</v>
      </c>
      <c r="AD528" s="18">
        <f t="shared" si="846"/>
        <v>0</v>
      </c>
      <c r="AE528" s="19">
        <v>0</v>
      </c>
      <c r="AF528" s="38">
        <v>0</v>
      </c>
      <c r="AG528" s="38">
        <v>0</v>
      </c>
      <c r="AH528" s="38">
        <v>0</v>
      </c>
      <c r="AI528" s="18">
        <f t="shared" si="847"/>
        <v>0</v>
      </c>
      <c r="AJ528" s="19">
        <v>0</v>
      </c>
      <c r="AK528" s="38">
        <v>0</v>
      </c>
      <c r="AL528" s="38">
        <v>0</v>
      </c>
      <c r="AM528" s="38">
        <v>0</v>
      </c>
    </row>
    <row r="529" spans="1:39" s="2" customFormat="1" ht="31.5" outlineLevel="2" x14ac:dyDescent="0.25">
      <c r="A529" s="8" t="s">
        <v>134</v>
      </c>
      <c r="B529" s="33" t="s">
        <v>55</v>
      </c>
      <c r="C529" s="26" t="s">
        <v>32</v>
      </c>
      <c r="D529" s="26" t="s">
        <v>118</v>
      </c>
      <c r="E529" s="20">
        <f t="shared" si="838"/>
        <v>611</v>
      </c>
      <c r="F529" s="38">
        <f t="shared" si="839"/>
        <v>0</v>
      </c>
      <c r="G529" s="38">
        <f t="shared" si="840"/>
        <v>0</v>
      </c>
      <c r="H529" s="38">
        <f t="shared" si="840"/>
        <v>611</v>
      </c>
      <c r="I529" s="38">
        <f t="shared" si="841"/>
        <v>0</v>
      </c>
      <c r="J529" s="18">
        <f t="shared" si="842"/>
        <v>204.1</v>
      </c>
      <c r="K529" s="19">
        <v>0</v>
      </c>
      <c r="L529" s="38">
        <v>0</v>
      </c>
      <c r="M529" s="19">
        <v>204.1</v>
      </c>
      <c r="N529" s="38">
        <v>0</v>
      </c>
      <c r="O529" s="18">
        <f t="shared" si="843"/>
        <v>203.1</v>
      </c>
      <c r="P529" s="19">
        <v>0</v>
      </c>
      <c r="Q529" s="38">
        <v>0</v>
      </c>
      <c r="R529" s="19">
        <v>203.1</v>
      </c>
      <c r="S529" s="38">
        <v>0</v>
      </c>
      <c r="T529" s="18">
        <f t="shared" si="844"/>
        <v>203.8</v>
      </c>
      <c r="U529" s="19">
        <v>0</v>
      </c>
      <c r="V529" s="38">
        <v>0</v>
      </c>
      <c r="W529" s="108">
        <v>203.8</v>
      </c>
      <c r="X529" s="38">
        <v>0</v>
      </c>
      <c r="Y529" s="18">
        <f t="shared" si="845"/>
        <v>0</v>
      </c>
      <c r="Z529" s="19">
        <v>0</v>
      </c>
      <c r="AA529" s="38">
        <v>0</v>
      </c>
      <c r="AB529" s="38">
        <v>0</v>
      </c>
      <c r="AC529" s="38">
        <v>0</v>
      </c>
      <c r="AD529" s="18">
        <f t="shared" si="846"/>
        <v>0</v>
      </c>
      <c r="AE529" s="19">
        <v>0</v>
      </c>
      <c r="AF529" s="38">
        <v>0</v>
      </c>
      <c r="AG529" s="38">
        <v>0</v>
      </c>
      <c r="AH529" s="38">
        <v>0</v>
      </c>
      <c r="AI529" s="18">
        <f t="shared" si="847"/>
        <v>0</v>
      </c>
      <c r="AJ529" s="19">
        <v>0</v>
      </c>
      <c r="AK529" s="38">
        <v>0</v>
      </c>
      <c r="AL529" s="38">
        <v>0</v>
      </c>
      <c r="AM529" s="38">
        <v>0</v>
      </c>
    </row>
    <row r="530" spans="1:39" s="2" customFormat="1" ht="31.5" outlineLevel="2" x14ac:dyDescent="0.25">
      <c r="A530" s="8" t="s">
        <v>135</v>
      </c>
      <c r="B530" s="33" t="s">
        <v>56</v>
      </c>
      <c r="C530" s="26" t="s">
        <v>32</v>
      </c>
      <c r="D530" s="26" t="s">
        <v>118</v>
      </c>
      <c r="E530" s="20">
        <f t="shared" si="838"/>
        <v>415.6</v>
      </c>
      <c r="F530" s="38">
        <f t="shared" si="839"/>
        <v>0</v>
      </c>
      <c r="G530" s="38">
        <f t="shared" si="840"/>
        <v>0</v>
      </c>
      <c r="H530" s="38">
        <f t="shared" si="840"/>
        <v>415.6</v>
      </c>
      <c r="I530" s="38">
        <f t="shared" si="841"/>
        <v>0</v>
      </c>
      <c r="J530" s="18">
        <f t="shared" si="842"/>
        <v>142.1</v>
      </c>
      <c r="K530" s="19">
        <v>0</v>
      </c>
      <c r="L530" s="38">
        <v>0</v>
      </c>
      <c r="M530" s="19">
        <v>142.1</v>
      </c>
      <c r="N530" s="38">
        <v>0</v>
      </c>
      <c r="O530" s="18">
        <f t="shared" si="843"/>
        <v>138.5</v>
      </c>
      <c r="P530" s="19">
        <v>0</v>
      </c>
      <c r="Q530" s="38">
        <v>0</v>
      </c>
      <c r="R530" s="19">
        <v>138.5</v>
      </c>
      <c r="S530" s="38">
        <v>0</v>
      </c>
      <c r="T530" s="18">
        <f t="shared" si="844"/>
        <v>135</v>
      </c>
      <c r="U530" s="19">
        <v>0</v>
      </c>
      <c r="V530" s="38">
        <v>0</v>
      </c>
      <c r="W530" s="108">
        <v>135</v>
      </c>
      <c r="X530" s="38">
        <v>0</v>
      </c>
      <c r="Y530" s="18">
        <f t="shared" si="845"/>
        <v>0</v>
      </c>
      <c r="Z530" s="19">
        <v>0</v>
      </c>
      <c r="AA530" s="38">
        <v>0</v>
      </c>
      <c r="AB530" s="38">
        <v>0</v>
      </c>
      <c r="AC530" s="38">
        <v>0</v>
      </c>
      <c r="AD530" s="18">
        <f t="shared" si="846"/>
        <v>0</v>
      </c>
      <c r="AE530" s="19">
        <v>0</v>
      </c>
      <c r="AF530" s="38">
        <v>0</v>
      </c>
      <c r="AG530" s="38">
        <v>0</v>
      </c>
      <c r="AH530" s="38">
        <v>0</v>
      </c>
      <c r="AI530" s="18">
        <f t="shared" si="847"/>
        <v>0</v>
      </c>
      <c r="AJ530" s="19">
        <v>0</v>
      </c>
      <c r="AK530" s="38">
        <v>0</v>
      </c>
      <c r="AL530" s="38">
        <v>0</v>
      </c>
      <c r="AM530" s="38">
        <v>0</v>
      </c>
    </row>
    <row r="531" spans="1:39" s="2" customFormat="1" ht="31.5" outlineLevel="2" x14ac:dyDescent="0.25">
      <c r="A531" s="8" t="s">
        <v>136</v>
      </c>
      <c r="B531" s="33" t="s">
        <v>57</v>
      </c>
      <c r="C531" s="26" t="s">
        <v>32</v>
      </c>
      <c r="D531" s="26" t="s">
        <v>118</v>
      </c>
      <c r="E531" s="20">
        <f t="shared" si="838"/>
        <v>299</v>
      </c>
      <c r="F531" s="38">
        <f t="shared" si="839"/>
        <v>0</v>
      </c>
      <c r="G531" s="38">
        <f t="shared" si="840"/>
        <v>0</v>
      </c>
      <c r="H531" s="38">
        <f t="shared" si="840"/>
        <v>299</v>
      </c>
      <c r="I531" s="38">
        <f t="shared" si="841"/>
        <v>0</v>
      </c>
      <c r="J531" s="18">
        <f t="shared" si="842"/>
        <v>101.9</v>
      </c>
      <c r="K531" s="19">
        <v>0</v>
      </c>
      <c r="L531" s="38">
        <v>0</v>
      </c>
      <c r="M531" s="19">
        <v>101.9</v>
      </c>
      <c r="N531" s="38">
        <v>0</v>
      </c>
      <c r="O531" s="18">
        <f t="shared" si="843"/>
        <v>98.9</v>
      </c>
      <c r="P531" s="19">
        <v>0</v>
      </c>
      <c r="Q531" s="38">
        <v>0</v>
      </c>
      <c r="R531" s="19">
        <v>98.9</v>
      </c>
      <c r="S531" s="38">
        <v>0</v>
      </c>
      <c r="T531" s="18">
        <f t="shared" si="844"/>
        <v>98.2</v>
      </c>
      <c r="U531" s="19">
        <v>0</v>
      </c>
      <c r="V531" s="38">
        <v>0</v>
      </c>
      <c r="W531" s="108">
        <v>98.2</v>
      </c>
      <c r="X531" s="38">
        <v>0</v>
      </c>
      <c r="Y531" s="18">
        <f t="shared" si="845"/>
        <v>0</v>
      </c>
      <c r="Z531" s="19">
        <v>0</v>
      </c>
      <c r="AA531" s="38">
        <v>0</v>
      </c>
      <c r="AB531" s="38">
        <v>0</v>
      </c>
      <c r="AC531" s="38">
        <v>0</v>
      </c>
      <c r="AD531" s="18">
        <f t="shared" si="846"/>
        <v>0</v>
      </c>
      <c r="AE531" s="19">
        <v>0</v>
      </c>
      <c r="AF531" s="38">
        <v>0</v>
      </c>
      <c r="AG531" s="38">
        <v>0</v>
      </c>
      <c r="AH531" s="38">
        <v>0</v>
      </c>
      <c r="AI531" s="18">
        <f t="shared" si="847"/>
        <v>0</v>
      </c>
      <c r="AJ531" s="19">
        <v>0</v>
      </c>
      <c r="AK531" s="38">
        <v>0</v>
      </c>
      <c r="AL531" s="38">
        <v>0</v>
      </c>
      <c r="AM531" s="38">
        <v>0</v>
      </c>
    </row>
    <row r="532" spans="1:39" s="2" customFormat="1" ht="31.5" outlineLevel="2" x14ac:dyDescent="0.25">
      <c r="A532" s="8" t="s">
        <v>775</v>
      </c>
      <c r="B532" s="33" t="s">
        <v>58</v>
      </c>
      <c r="C532" s="26" t="s">
        <v>32</v>
      </c>
      <c r="D532" s="26" t="s">
        <v>118</v>
      </c>
      <c r="E532" s="20">
        <f t="shared" si="838"/>
        <v>547.69999999999993</v>
      </c>
      <c r="F532" s="38">
        <f t="shared" si="839"/>
        <v>0</v>
      </c>
      <c r="G532" s="38">
        <f t="shared" si="840"/>
        <v>0</v>
      </c>
      <c r="H532" s="38">
        <f t="shared" si="840"/>
        <v>547.69999999999993</v>
      </c>
      <c r="I532" s="38">
        <f t="shared" si="841"/>
        <v>0</v>
      </c>
      <c r="J532" s="18">
        <f t="shared" si="842"/>
        <v>181.7</v>
      </c>
      <c r="K532" s="19">
        <v>0</v>
      </c>
      <c r="L532" s="38">
        <v>0</v>
      </c>
      <c r="M532" s="19">
        <v>181.7</v>
      </c>
      <c r="N532" s="38">
        <v>0</v>
      </c>
      <c r="O532" s="18">
        <f t="shared" si="843"/>
        <v>184.1</v>
      </c>
      <c r="P532" s="19">
        <v>0</v>
      </c>
      <c r="Q532" s="38">
        <v>0</v>
      </c>
      <c r="R532" s="19">
        <v>184.1</v>
      </c>
      <c r="S532" s="38">
        <v>0</v>
      </c>
      <c r="T532" s="18">
        <f t="shared" si="844"/>
        <v>181.9</v>
      </c>
      <c r="U532" s="19">
        <v>0</v>
      </c>
      <c r="V532" s="38">
        <v>0</v>
      </c>
      <c r="W532" s="108">
        <v>181.9</v>
      </c>
      <c r="X532" s="38">
        <v>0</v>
      </c>
      <c r="Y532" s="18">
        <f t="shared" si="845"/>
        <v>0</v>
      </c>
      <c r="Z532" s="19">
        <v>0</v>
      </c>
      <c r="AA532" s="38">
        <v>0</v>
      </c>
      <c r="AB532" s="38">
        <v>0</v>
      </c>
      <c r="AC532" s="38">
        <v>0</v>
      </c>
      <c r="AD532" s="18">
        <f t="shared" si="846"/>
        <v>0</v>
      </c>
      <c r="AE532" s="19">
        <v>0</v>
      </c>
      <c r="AF532" s="38">
        <v>0</v>
      </c>
      <c r="AG532" s="38">
        <v>0</v>
      </c>
      <c r="AH532" s="38">
        <v>0</v>
      </c>
      <c r="AI532" s="18">
        <f t="shared" si="847"/>
        <v>0</v>
      </c>
      <c r="AJ532" s="19">
        <v>0</v>
      </c>
      <c r="AK532" s="38">
        <v>0</v>
      </c>
      <c r="AL532" s="38">
        <v>0</v>
      </c>
      <c r="AM532" s="38">
        <v>0</v>
      </c>
    </row>
    <row r="533" spans="1:39" ht="42.75" customHeight="1" outlineLevel="1" x14ac:dyDescent="0.25">
      <c r="A533" s="56" t="s">
        <v>304</v>
      </c>
      <c r="B533" s="192" t="s">
        <v>729</v>
      </c>
      <c r="C533" s="193"/>
      <c r="D533" s="193"/>
      <c r="E533" s="12">
        <f>SUM(E534:F537)</f>
        <v>3320.9</v>
      </c>
      <c r="F533" s="12">
        <f>SUM(F534:F537)</f>
        <v>0</v>
      </c>
      <c r="G533" s="12">
        <f>SUM(G534:G537)</f>
        <v>0</v>
      </c>
      <c r="H533" s="12">
        <f>SUM(H534:H537)</f>
        <v>3320.9</v>
      </c>
      <c r="I533" s="12">
        <f>SUM(I534:I537)</f>
        <v>0</v>
      </c>
      <c r="J533" s="12">
        <f>SUM(J534:J537)</f>
        <v>1380.4</v>
      </c>
      <c r="K533" s="12">
        <f t="shared" ref="K533:W533" si="849">SUM(K534:K537)</f>
        <v>0</v>
      </c>
      <c r="L533" s="12">
        <f t="shared" si="849"/>
        <v>0</v>
      </c>
      <c r="M533" s="12">
        <f t="shared" si="849"/>
        <v>1380.4</v>
      </c>
      <c r="N533" s="12">
        <f t="shared" si="849"/>
        <v>0</v>
      </c>
      <c r="O533" s="12">
        <f t="shared" si="849"/>
        <v>1940.5</v>
      </c>
      <c r="P533" s="12">
        <f t="shared" si="849"/>
        <v>0</v>
      </c>
      <c r="Q533" s="12">
        <f t="shared" si="849"/>
        <v>0</v>
      </c>
      <c r="R533" s="12">
        <f>SUM(R534:R537)</f>
        <v>1940.5</v>
      </c>
      <c r="S533" s="12">
        <f t="shared" si="849"/>
        <v>0</v>
      </c>
      <c r="T533" s="12">
        <f t="shared" si="849"/>
        <v>0</v>
      </c>
      <c r="U533" s="12">
        <f t="shared" si="849"/>
        <v>0</v>
      </c>
      <c r="V533" s="12">
        <f t="shared" si="849"/>
        <v>0</v>
      </c>
      <c r="W533" s="12">
        <f t="shared" si="849"/>
        <v>0</v>
      </c>
      <c r="X533" s="12">
        <f>SUM(X534:X537)</f>
        <v>0</v>
      </c>
      <c r="Y533" s="12">
        <f t="shared" ref="Y533:AM533" si="850">SUM(Y534:Y537)</f>
        <v>0</v>
      </c>
      <c r="Z533" s="12">
        <f t="shared" si="850"/>
        <v>0</v>
      </c>
      <c r="AA533" s="12">
        <f t="shared" si="850"/>
        <v>0</v>
      </c>
      <c r="AB533" s="12">
        <f t="shared" si="850"/>
        <v>0</v>
      </c>
      <c r="AC533" s="12">
        <f t="shared" si="850"/>
        <v>0</v>
      </c>
      <c r="AD533" s="12">
        <f t="shared" si="850"/>
        <v>0</v>
      </c>
      <c r="AE533" s="12">
        <f t="shared" si="850"/>
        <v>0</v>
      </c>
      <c r="AF533" s="12">
        <f t="shared" si="850"/>
        <v>0</v>
      </c>
      <c r="AG533" s="12">
        <f>SUM(AG534:AG537)</f>
        <v>0</v>
      </c>
      <c r="AH533" s="12">
        <f t="shared" si="850"/>
        <v>0</v>
      </c>
      <c r="AI533" s="12">
        <f t="shared" si="850"/>
        <v>0</v>
      </c>
      <c r="AJ533" s="12">
        <f t="shared" si="850"/>
        <v>0</v>
      </c>
      <c r="AK533" s="12">
        <f t="shared" si="850"/>
        <v>0</v>
      </c>
      <c r="AL533" s="12">
        <f t="shared" si="850"/>
        <v>0</v>
      </c>
      <c r="AM533" s="12">
        <f t="shared" si="850"/>
        <v>0</v>
      </c>
    </row>
    <row r="534" spans="1:39" ht="31.5" outlineLevel="2" x14ac:dyDescent="0.25">
      <c r="A534" s="16" t="s">
        <v>305</v>
      </c>
      <c r="B534" s="7" t="s">
        <v>54</v>
      </c>
      <c r="C534" s="26" t="s">
        <v>32</v>
      </c>
      <c r="D534" s="26" t="s">
        <v>118</v>
      </c>
      <c r="E534" s="12">
        <f>G534+H534+I534</f>
        <v>840.7</v>
      </c>
      <c r="F534" s="13">
        <v>0</v>
      </c>
      <c r="G534" s="38">
        <f t="shared" ref="G534:I536" si="851">L534+Q534+V534+AA534+AF534+AK534</f>
        <v>0</v>
      </c>
      <c r="H534" s="38">
        <f t="shared" si="851"/>
        <v>840.7</v>
      </c>
      <c r="I534" s="38">
        <f t="shared" si="851"/>
        <v>0</v>
      </c>
      <c r="J534" s="12">
        <f>L534+M534+N534</f>
        <v>840.7</v>
      </c>
      <c r="K534" s="13">
        <v>0</v>
      </c>
      <c r="L534" s="13">
        <v>0</v>
      </c>
      <c r="M534" s="13">
        <v>840.7</v>
      </c>
      <c r="N534" s="13">
        <v>0</v>
      </c>
      <c r="O534" s="12">
        <f>Q534+R534+S534</f>
        <v>0</v>
      </c>
      <c r="P534" s="13">
        <v>0</v>
      </c>
      <c r="Q534" s="13">
        <v>0</v>
      </c>
      <c r="R534" s="13">
        <v>0</v>
      </c>
      <c r="S534" s="13">
        <v>0</v>
      </c>
      <c r="T534" s="12">
        <f>V534+W534+X534</f>
        <v>0</v>
      </c>
      <c r="U534" s="13">
        <v>0</v>
      </c>
      <c r="V534" s="13">
        <v>0</v>
      </c>
      <c r="W534" s="13">
        <v>0</v>
      </c>
      <c r="X534" s="13">
        <v>0</v>
      </c>
      <c r="Y534" s="12">
        <f>AA534+AB534+AC534</f>
        <v>0</v>
      </c>
      <c r="Z534" s="13">
        <v>0</v>
      </c>
      <c r="AA534" s="13">
        <v>0</v>
      </c>
      <c r="AB534" s="13">
        <v>0</v>
      </c>
      <c r="AC534" s="13">
        <v>0</v>
      </c>
      <c r="AD534" s="12">
        <f>AF534+AG534+AH534</f>
        <v>0</v>
      </c>
      <c r="AE534" s="13">
        <v>0</v>
      </c>
      <c r="AF534" s="13">
        <v>0</v>
      </c>
      <c r="AG534" s="13">
        <v>0</v>
      </c>
      <c r="AH534" s="13">
        <v>0</v>
      </c>
      <c r="AI534" s="12">
        <f>AK534+AL534+AM534</f>
        <v>0</v>
      </c>
      <c r="AJ534" s="13">
        <v>0</v>
      </c>
      <c r="AK534" s="13">
        <v>0</v>
      </c>
      <c r="AL534" s="13">
        <v>0</v>
      </c>
      <c r="AM534" s="13">
        <v>0</v>
      </c>
    </row>
    <row r="535" spans="1:39" ht="31.5" outlineLevel="2" x14ac:dyDescent="0.25">
      <c r="A535" s="16" t="s">
        <v>380</v>
      </c>
      <c r="B535" s="7" t="s">
        <v>53</v>
      </c>
      <c r="C535" s="26" t="s">
        <v>32</v>
      </c>
      <c r="D535" s="26" t="s">
        <v>118</v>
      </c>
      <c r="E535" s="12">
        <f>G535+H535+I535</f>
        <v>555.20000000000005</v>
      </c>
      <c r="F535" s="13">
        <v>0</v>
      </c>
      <c r="G535" s="38">
        <f t="shared" si="851"/>
        <v>0</v>
      </c>
      <c r="H535" s="38">
        <f t="shared" si="851"/>
        <v>555.20000000000005</v>
      </c>
      <c r="I535" s="38">
        <f t="shared" si="851"/>
        <v>0</v>
      </c>
      <c r="J535" s="12">
        <f>L535+M535+N535</f>
        <v>539.70000000000005</v>
      </c>
      <c r="K535" s="13">
        <v>0</v>
      </c>
      <c r="L535" s="13">
        <v>0</v>
      </c>
      <c r="M535" s="13">
        <v>539.70000000000005</v>
      </c>
      <c r="N535" s="13">
        <v>0</v>
      </c>
      <c r="O535" s="12">
        <f>Q535+R535+S535</f>
        <v>15.5</v>
      </c>
      <c r="P535" s="13">
        <v>0</v>
      </c>
      <c r="Q535" s="13">
        <v>0</v>
      </c>
      <c r="R535" s="13">
        <v>15.5</v>
      </c>
      <c r="S535" s="13">
        <v>0</v>
      </c>
      <c r="T535" s="12">
        <f>V535+W535+X535</f>
        <v>0</v>
      </c>
      <c r="U535" s="13">
        <v>0</v>
      </c>
      <c r="V535" s="13">
        <v>0</v>
      </c>
      <c r="W535" s="13">
        <v>0</v>
      </c>
      <c r="X535" s="13">
        <v>0</v>
      </c>
      <c r="Y535" s="12">
        <f>AA535+AB535+AC535</f>
        <v>0</v>
      </c>
      <c r="Z535" s="13">
        <v>0</v>
      </c>
      <c r="AA535" s="13">
        <v>0</v>
      </c>
      <c r="AB535" s="13">
        <v>0</v>
      </c>
      <c r="AC535" s="13">
        <v>0</v>
      </c>
      <c r="AD535" s="12">
        <f>AF535+AG535+AH535</f>
        <v>0</v>
      </c>
      <c r="AE535" s="13">
        <v>0</v>
      </c>
      <c r="AF535" s="13">
        <v>0</v>
      </c>
      <c r="AG535" s="13">
        <v>0</v>
      </c>
      <c r="AH535" s="13">
        <v>0</v>
      </c>
      <c r="AI535" s="12">
        <f>AK535+AL535+AM535</f>
        <v>0</v>
      </c>
      <c r="AJ535" s="13">
        <v>0</v>
      </c>
      <c r="AK535" s="13">
        <v>0</v>
      </c>
      <c r="AL535" s="13">
        <v>0</v>
      </c>
      <c r="AM535" s="13">
        <v>0</v>
      </c>
    </row>
    <row r="536" spans="1:39" ht="31.5" outlineLevel="2" x14ac:dyDescent="0.25">
      <c r="A536" s="16" t="s">
        <v>422</v>
      </c>
      <c r="B536" s="57" t="s">
        <v>61</v>
      </c>
      <c r="C536" s="26" t="s">
        <v>32</v>
      </c>
      <c r="D536" s="26" t="s">
        <v>118</v>
      </c>
      <c r="E536" s="12">
        <f>G536+H536+I536</f>
        <v>1417.1000000000001</v>
      </c>
      <c r="F536" s="13">
        <v>0</v>
      </c>
      <c r="G536" s="38">
        <f t="shared" si="851"/>
        <v>0</v>
      </c>
      <c r="H536" s="38">
        <f t="shared" si="851"/>
        <v>1417.1000000000001</v>
      </c>
      <c r="I536" s="38">
        <f t="shared" si="851"/>
        <v>0</v>
      </c>
      <c r="J536" s="12">
        <f>L536+M536+N536</f>
        <v>0</v>
      </c>
      <c r="K536" s="13">
        <v>0</v>
      </c>
      <c r="L536" s="13">
        <v>0</v>
      </c>
      <c r="M536" s="13">
        <v>0</v>
      </c>
      <c r="N536" s="13">
        <v>0</v>
      </c>
      <c r="O536" s="12">
        <f>Q536+R536+S536</f>
        <v>1417.1000000000001</v>
      </c>
      <c r="P536" s="13">
        <v>0</v>
      </c>
      <c r="Q536" s="13">
        <v>0</v>
      </c>
      <c r="R536" s="13">
        <f>1531.9-114.8</f>
        <v>1417.1000000000001</v>
      </c>
      <c r="S536" s="13">
        <v>0</v>
      </c>
      <c r="T536" s="12">
        <f>V536+W536+X536</f>
        <v>0</v>
      </c>
      <c r="U536" s="13">
        <v>0</v>
      </c>
      <c r="V536" s="13">
        <v>0</v>
      </c>
      <c r="W536" s="13">
        <v>0</v>
      </c>
      <c r="X536" s="13">
        <v>0</v>
      </c>
      <c r="Y536" s="12">
        <f>AA536+AB536+AC536</f>
        <v>0</v>
      </c>
      <c r="Z536" s="13">
        <v>0</v>
      </c>
      <c r="AA536" s="13">
        <v>0</v>
      </c>
      <c r="AB536" s="13">
        <v>0</v>
      </c>
      <c r="AC536" s="13">
        <v>0</v>
      </c>
      <c r="AD536" s="12">
        <f>AF536+AG536+AH536</f>
        <v>0</v>
      </c>
      <c r="AE536" s="13">
        <v>0</v>
      </c>
      <c r="AF536" s="13">
        <v>0</v>
      </c>
      <c r="AG536" s="13">
        <v>0</v>
      </c>
      <c r="AH536" s="13">
        <v>0</v>
      </c>
      <c r="AI536" s="12">
        <f>AK536+AL536+AM536</f>
        <v>0</v>
      </c>
      <c r="AJ536" s="13">
        <v>0</v>
      </c>
      <c r="AK536" s="13">
        <v>0</v>
      </c>
      <c r="AL536" s="13">
        <v>0</v>
      </c>
      <c r="AM536" s="13">
        <v>0</v>
      </c>
    </row>
    <row r="537" spans="1:39" ht="31.5" outlineLevel="2" x14ac:dyDescent="0.25">
      <c r="A537" s="16" t="s">
        <v>722</v>
      </c>
      <c r="B537" s="57" t="s">
        <v>49</v>
      </c>
      <c r="C537" s="26" t="s">
        <v>32</v>
      </c>
      <c r="D537" s="26" t="s">
        <v>118</v>
      </c>
      <c r="E537" s="12">
        <f>G537+H537+I537</f>
        <v>507.9</v>
      </c>
      <c r="F537" s="13">
        <v>0</v>
      </c>
      <c r="G537" s="38">
        <f>L537+Q537+V537+AA537+AF537+AK537</f>
        <v>0</v>
      </c>
      <c r="H537" s="38">
        <f>M537+R537+W537+AB537+AG537+AL537</f>
        <v>507.9</v>
      </c>
      <c r="I537" s="38">
        <f>N537+S537+X537+AC537+AH537+AM537</f>
        <v>0</v>
      </c>
      <c r="J537" s="12">
        <f>L537+M537+N537</f>
        <v>0</v>
      </c>
      <c r="K537" s="13">
        <v>0</v>
      </c>
      <c r="L537" s="13">
        <v>0</v>
      </c>
      <c r="M537" s="13">
        <v>0</v>
      </c>
      <c r="N537" s="13">
        <v>0</v>
      </c>
      <c r="O537" s="12">
        <f>Q537+R537+S537</f>
        <v>507.9</v>
      </c>
      <c r="P537" s="13">
        <v>0</v>
      </c>
      <c r="Q537" s="13">
        <v>0</v>
      </c>
      <c r="R537" s="13">
        <v>507.9</v>
      </c>
      <c r="S537" s="13">
        <v>0</v>
      </c>
      <c r="T537" s="12">
        <f>V537+W537+X537</f>
        <v>0</v>
      </c>
      <c r="U537" s="13">
        <v>0</v>
      </c>
      <c r="V537" s="13">
        <v>0</v>
      </c>
      <c r="W537" s="13">
        <v>0</v>
      </c>
      <c r="X537" s="13">
        <v>0</v>
      </c>
      <c r="Y537" s="12">
        <f>AA537+AB537+AC537</f>
        <v>0</v>
      </c>
      <c r="Z537" s="13">
        <v>0</v>
      </c>
      <c r="AA537" s="13">
        <v>0</v>
      </c>
      <c r="AB537" s="13">
        <v>0</v>
      </c>
      <c r="AC537" s="13">
        <v>0</v>
      </c>
      <c r="AD537" s="12">
        <f>AF537+AG537+AH537</f>
        <v>0</v>
      </c>
      <c r="AE537" s="13">
        <v>0</v>
      </c>
      <c r="AF537" s="13">
        <v>0</v>
      </c>
      <c r="AG537" s="13">
        <v>0</v>
      </c>
      <c r="AH537" s="13">
        <v>0</v>
      </c>
      <c r="AI537" s="12">
        <f>AK537+AL537+AM537</f>
        <v>0</v>
      </c>
      <c r="AJ537" s="13">
        <v>0</v>
      </c>
      <c r="AK537" s="13">
        <v>0</v>
      </c>
      <c r="AL537" s="13">
        <v>0</v>
      </c>
      <c r="AM537" s="13">
        <v>0</v>
      </c>
    </row>
    <row r="538" spans="1:39" ht="46.5" customHeight="1" outlineLevel="1" x14ac:dyDescent="0.25">
      <c r="A538" s="56" t="s">
        <v>325</v>
      </c>
      <c r="B538" s="192" t="s">
        <v>326</v>
      </c>
      <c r="C538" s="193"/>
      <c r="D538" s="193"/>
      <c r="E538" s="12">
        <f>SUM(E539:E541)</f>
        <v>18056.099999999999</v>
      </c>
      <c r="F538" s="12">
        <f t="shared" ref="F538:AM538" si="852">SUM(F539:F541)</f>
        <v>0</v>
      </c>
      <c r="G538" s="12">
        <f t="shared" si="852"/>
        <v>0</v>
      </c>
      <c r="H538" s="12">
        <f t="shared" si="852"/>
        <v>18053.099999999999</v>
      </c>
      <c r="I538" s="12">
        <f t="shared" si="852"/>
        <v>3.0000000000000004</v>
      </c>
      <c r="J538" s="12">
        <f t="shared" si="852"/>
        <v>4476.1000000000004</v>
      </c>
      <c r="K538" s="12">
        <f t="shared" si="852"/>
        <v>0</v>
      </c>
      <c r="L538" s="12">
        <f t="shared" si="852"/>
        <v>0</v>
      </c>
      <c r="M538" s="12">
        <f t="shared" si="852"/>
        <v>4473.1000000000004</v>
      </c>
      <c r="N538" s="12">
        <f t="shared" si="852"/>
        <v>3.0000000000000004</v>
      </c>
      <c r="O538" s="12">
        <f t="shared" si="852"/>
        <v>13580</v>
      </c>
      <c r="P538" s="12">
        <f t="shared" si="852"/>
        <v>0</v>
      </c>
      <c r="Q538" s="12">
        <f t="shared" si="852"/>
        <v>0</v>
      </c>
      <c r="R538" s="12">
        <f t="shared" si="852"/>
        <v>13580</v>
      </c>
      <c r="S538" s="12">
        <f t="shared" si="852"/>
        <v>0</v>
      </c>
      <c r="T538" s="12">
        <f>SUM(T539:T541)</f>
        <v>0</v>
      </c>
      <c r="U538" s="12">
        <f t="shared" si="852"/>
        <v>0</v>
      </c>
      <c r="V538" s="12">
        <f t="shared" si="852"/>
        <v>0</v>
      </c>
      <c r="W538" s="12">
        <f t="shared" si="852"/>
        <v>0</v>
      </c>
      <c r="X538" s="12">
        <f t="shared" si="852"/>
        <v>0</v>
      </c>
      <c r="Y538" s="12">
        <f t="shared" si="852"/>
        <v>0</v>
      </c>
      <c r="Z538" s="12">
        <f t="shared" si="852"/>
        <v>0</v>
      </c>
      <c r="AA538" s="12">
        <f t="shared" si="852"/>
        <v>0</v>
      </c>
      <c r="AB538" s="12">
        <f t="shared" si="852"/>
        <v>0</v>
      </c>
      <c r="AC538" s="12">
        <f t="shared" si="852"/>
        <v>0</v>
      </c>
      <c r="AD538" s="12">
        <f t="shared" si="852"/>
        <v>0</v>
      </c>
      <c r="AE538" s="12">
        <f t="shared" si="852"/>
        <v>0</v>
      </c>
      <c r="AF538" s="12">
        <f t="shared" si="852"/>
        <v>0</v>
      </c>
      <c r="AG538" s="12">
        <f>SUM(AG539:AG541)</f>
        <v>0</v>
      </c>
      <c r="AH538" s="12">
        <f t="shared" si="852"/>
        <v>0</v>
      </c>
      <c r="AI538" s="12">
        <f t="shared" si="852"/>
        <v>0</v>
      </c>
      <c r="AJ538" s="12">
        <f t="shared" si="852"/>
        <v>0</v>
      </c>
      <c r="AK538" s="12">
        <f t="shared" si="852"/>
        <v>0</v>
      </c>
      <c r="AL538" s="12">
        <f t="shared" si="852"/>
        <v>0</v>
      </c>
      <c r="AM538" s="12">
        <f t="shared" si="852"/>
        <v>0</v>
      </c>
    </row>
    <row r="539" spans="1:39" ht="47.25" outlineLevel="2" x14ac:dyDescent="0.25">
      <c r="A539" s="16" t="s">
        <v>327</v>
      </c>
      <c r="B539" s="6" t="s">
        <v>328</v>
      </c>
      <c r="C539" s="26" t="s">
        <v>32</v>
      </c>
      <c r="D539" s="26" t="s">
        <v>32</v>
      </c>
      <c r="E539" s="20">
        <f>SUM(F539:I539)</f>
        <v>4179.5</v>
      </c>
      <c r="F539" s="38">
        <f t="shared" ref="F539:I543" si="853">K539+P539+U539+Z539+AE539+AJ539</f>
        <v>0</v>
      </c>
      <c r="G539" s="38">
        <f t="shared" si="853"/>
        <v>0</v>
      </c>
      <c r="H539" s="38">
        <f t="shared" si="853"/>
        <v>4179.5</v>
      </c>
      <c r="I539" s="38">
        <f t="shared" si="853"/>
        <v>0</v>
      </c>
      <c r="J539" s="12">
        <f>L539+M539+N539</f>
        <v>4179.5</v>
      </c>
      <c r="K539" s="13">
        <v>0</v>
      </c>
      <c r="L539" s="38">
        <v>0</v>
      </c>
      <c r="M539" s="13">
        <v>4179.5</v>
      </c>
      <c r="N539" s="13">
        <v>0</v>
      </c>
      <c r="O539" s="12">
        <f>Q539+R539+S539</f>
        <v>0</v>
      </c>
      <c r="P539" s="13">
        <v>0</v>
      </c>
      <c r="Q539" s="13">
        <v>0</v>
      </c>
      <c r="R539" s="13">
        <v>0</v>
      </c>
      <c r="S539" s="13">
        <v>0</v>
      </c>
      <c r="T539" s="12">
        <f>V539+W539+X539</f>
        <v>0</v>
      </c>
      <c r="U539" s="13">
        <v>0</v>
      </c>
      <c r="V539" s="13">
        <v>0</v>
      </c>
      <c r="W539" s="13">
        <v>0</v>
      </c>
      <c r="X539" s="13">
        <v>0</v>
      </c>
      <c r="Y539" s="12">
        <f>AA539+AB539+AC539</f>
        <v>0</v>
      </c>
      <c r="Z539" s="13">
        <v>0</v>
      </c>
      <c r="AA539" s="13">
        <v>0</v>
      </c>
      <c r="AB539" s="13">
        <v>0</v>
      </c>
      <c r="AC539" s="13">
        <v>0</v>
      </c>
      <c r="AD539" s="12">
        <f>AF539+AG539+AH539</f>
        <v>0</v>
      </c>
      <c r="AE539" s="13">
        <v>0</v>
      </c>
      <c r="AF539" s="13">
        <v>0</v>
      </c>
      <c r="AG539" s="13">
        <v>0</v>
      </c>
      <c r="AH539" s="13">
        <v>0</v>
      </c>
      <c r="AI539" s="12">
        <f>AK539+AL539+AM539</f>
        <v>0</v>
      </c>
      <c r="AJ539" s="13">
        <v>0</v>
      </c>
      <c r="AK539" s="13">
        <v>0</v>
      </c>
      <c r="AL539" s="13">
        <v>0</v>
      </c>
      <c r="AM539" s="13">
        <v>0</v>
      </c>
    </row>
    <row r="540" spans="1:39" ht="47.25" outlineLevel="2" x14ac:dyDescent="0.25">
      <c r="A540" s="16" t="s">
        <v>379</v>
      </c>
      <c r="B540" s="6" t="s">
        <v>462</v>
      </c>
      <c r="C540" s="26" t="s">
        <v>32</v>
      </c>
      <c r="D540" s="26" t="s">
        <v>41</v>
      </c>
      <c r="E540" s="20">
        <f>SUM(F540:I540)</f>
        <v>296.60000000000002</v>
      </c>
      <c r="F540" s="38">
        <f>K540+P540+U540+Z540+AE540+AJ540</f>
        <v>0</v>
      </c>
      <c r="G540" s="38">
        <f>L540+Q540+V540+AA540+AF540+AK540</f>
        <v>0</v>
      </c>
      <c r="H540" s="38">
        <f>M540+R540+W540+AB540+AG540+AL540</f>
        <v>293.60000000000002</v>
      </c>
      <c r="I540" s="38">
        <f>N540+S540+X540+AC540+AH540+AM540</f>
        <v>3.0000000000000004</v>
      </c>
      <c r="J540" s="12">
        <f>L540+M540+N540</f>
        <v>296.60000000000002</v>
      </c>
      <c r="K540" s="13">
        <v>0</v>
      </c>
      <c r="L540" s="38">
        <v>0</v>
      </c>
      <c r="M540" s="13">
        <f>434.2-140.6</f>
        <v>293.60000000000002</v>
      </c>
      <c r="N540" s="13">
        <f>4.4-1.4</f>
        <v>3.0000000000000004</v>
      </c>
      <c r="O540" s="12">
        <f>Q540+R540+S540</f>
        <v>0</v>
      </c>
      <c r="P540" s="13">
        <v>0</v>
      </c>
      <c r="Q540" s="13">
        <v>0</v>
      </c>
      <c r="R540" s="13">
        <v>0</v>
      </c>
      <c r="S540" s="13">
        <v>0</v>
      </c>
      <c r="T540" s="12">
        <f>V540+W540+X540</f>
        <v>0</v>
      </c>
      <c r="U540" s="13">
        <v>0</v>
      </c>
      <c r="V540" s="13">
        <v>0</v>
      </c>
      <c r="W540" s="13">
        <v>0</v>
      </c>
      <c r="X540" s="13">
        <v>0</v>
      </c>
      <c r="Y540" s="12">
        <f>AA540+AB540+AC540</f>
        <v>0</v>
      </c>
      <c r="Z540" s="13">
        <v>0</v>
      </c>
      <c r="AA540" s="13">
        <v>0</v>
      </c>
      <c r="AB540" s="13">
        <v>0</v>
      </c>
      <c r="AC540" s="13">
        <v>0</v>
      </c>
      <c r="AD540" s="12">
        <f>AF540+AG540+AH540</f>
        <v>0</v>
      </c>
      <c r="AE540" s="13">
        <v>0</v>
      </c>
      <c r="AF540" s="13">
        <v>0</v>
      </c>
      <c r="AG540" s="13">
        <v>0</v>
      </c>
      <c r="AH540" s="13">
        <v>0</v>
      </c>
      <c r="AI540" s="12">
        <f>AK540+AL540+AM540</f>
        <v>0</v>
      </c>
      <c r="AJ540" s="13">
        <v>0</v>
      </c>
      <c r="AK540" s="13">
        <v>0</v>
      </c>
      <c r="AL540" s="13">
        <v>0</v>
      </c>
      <c r="AM540" s="13">
        <v>0</v>
      </c>
    </row>
    <row r="541" spans="1:39" ht="47.25" outlineLevel="2" x14ac:dyDescent="0.25">
      <c r="A541" s="16" t="s">
        <v>456</v>
      </c>
      <c r="B541" s="6" t="s">
        <v>457</v>
      </c>
      <c r="C541" s="26" t="s">
        <v>32</v>
      </c>
      <c r="D541" s="26" t="s">
        <v>32</v>
      </c>
      <c r="E541" s="20">
        <f>SUM(F541:I541)</f>
        <v>13580</v>
      </c>
      <c r="F541" s="38">
        <f t="shared" si="853"/>
        <v>0</v>
      </c>
      <c r="G541" s="38">
        <f t="shared" si="853"/>
        <v>0</v>
      </c>
      <c r="H541" s="38">
        <f t="shared" si="853"/>
        <v>13580</v>
      </c>
      <c r="I541" s="38">
        <f t="shared" si="853"/>
        <v>0</v>
      </c>
      <c r="J541" s="12">
        <f>L541+M541+N541</f>
        <v>0</v>
      </c>
      <c r="K541" s="13">
        <v>0</v>
      </c>
      <c r="L541" s="38">
        <v>0</v>
      </c>
      <c r="M541" s="13">
        <v>0</v>
      </c>
      <c r="N541" s="13">
        <v>0</v>
      </c>
      <c r="O541" s="12">
        <f>Q541+R541+S541</f>
        <v>13580</v>
      </c>
      <c r="P541" s="13">
        <v>0</v>
      </c>
      <c r="Q541" s="13">
        <v>0</v>
      </c>
      <c r="R541" s="13">
        <f>13107.1+872-399.1</f>
        <v>13580</v>
      </c>
      <c r="S541" s="13">
        <v>0</v>
      </c>
      <c r="T541" s="12">
        <f>V541+W541+X541</f>
        <v>0</v>
      </c>
      <c r="U541" s="13">
        <v>0</v>
      </c>
      <c r="V541" s="13">
        <v>0</v>
      </c>
      <c r="W541" s="13">
        <v>0</v>
      </c>
      <c r="X541" s="13">
        <v>0</v>
      </c>
      <c r="Y541" s="12">
        <f>AA541+AB541+AC541</f>
        <v>0</v>
      </c>
      <c r="Z541" s="13">
        <v>0</v>
      </c>
      <c r="AA541" s="13">
        <v>0</v>
      </c>
      <c r="AB541" s="13">
        <v>0</v>
      </c>
      <c r="AC541" s="13">
        <v>0</v>
      </c>
      <c r="AD541" s="12">
        <f>AF541+AG541+AH541</f>
        <v>0</v>
      </c>
      <c r="AE541" s="13">
        <v>0</v>
      </c>
      <c r="AF541" s="13">
        <v>0</v>
      </c>
      <c r="AG541" s="13">
        <v>0</v>
      </c>
      <c r="AH541" s="13">
        <v>0</v>
      </c>
      <c r="AI541" s="12">
        <f>AK541+AL541+AM541</f>
        <v>0</v>
      </c>
      <c r="AJ541" s="13">
        <v>0</v>
      </c>
      <c r="AK541" s="13">
        <v>0</v>
      </c>
      <c r="AL541" s="13">
        <v>0</v>
      </c>
      <c r="AM541" s="13">
        <v>0</v>
      </c>
    </row>
    <row r="542" spans="1:39" ht="25.5" customHeight="1" outlineLevel="1" x14ac:dyDescent="0.25">
      <c r="A542" s="56" t="s">
        <v>436</v>
      </c>
      <c r="B542" s="192" t="s">
        <v>439</v>
      </c>
      <c r="C542" s="193"/>
      <c r="D542" s="193"/>
      <c r="E542" s="12">
        <f>SUM(E543:E544)</f>
        <v>27365</v>
      </c>
      <c r="F542" s="12">
        <f t="shared" ref="F542:AM542" si="854">SUM(F543:F544)</f>
        <v>0</v>
      </c>
      <c r="G542" s="12">
        <f t="shared" si="854"/>
        <v>0</v>
      </c>
      <c r="H542" s="12">
        <f t="shared" si="854"/>
        <v>27365</v>
      </c>
      <c r="I542" s="12">
        <f t="shared" si="854"/>
        <v>0</v>
      </c>
      <c r="J542" s="12">
        <f t="shared" si="854"/>
        <v>0</v>
      </c>
      <c r="K542" s="12">
        <f t="shared" si="854"/>
        <v>0</v>
      </c>
      <c r="L542" s="12">
        <f t="shared" si="854"/>
        <v>0</v>
      </c>
      <c r="M542" s="12">
        <f t="shared" si="854"/>
        <v>0</v>
      </c>
      <c r="N542" s="12">
        <f t="shared" si="854"/>
        <v>0</v>
      </c>
      <c r="O542" s="12">
        <f t="shared" si="854"/>
        <v>9365</v>
      </c>
      <c r="P542" s="12">
        <f t="shared" si="854"/>
        <v>0</v>
      </c>
      <c r="Q542" s="12">
        <f t="shared" si="854"/>
        <v>0</v>
      </c>
      <c r="R542" s="12">
        <f t="shared" si="854"/>
        <v>9365</v>
      </c>
      <c r="S542" s="12">
        <f t="shared" si="854"/>
        <v>0</v>
      </c>
      <c r="T542" s="12">
        <f>SUM(T543:T544)</f>
        <v>18000</v>
      </c>
      <c r="U542" s="12">
        <f t="shared" si="854"/>
        <v>0</v>
      </c>
      <c r="V542" s="12">
        <f t="shared" si="854"/>
        <v>0</v>
      </c>
      <c r="W542" s="12">
        <f t="shared" si="854"/>
        <v>18000</v>
      </c>
      <c r="X542" s="12">
        <f t="shared" si="854"/>
        <v>0</v>
      </c>
      <c r="Y542" s="12">
        <f t="shared" si="854"/>
        <v>0</v>
      </c>
      <c r="Z542" s="12">
        <f t="shared" si="854"/>
        <v>0</v>
      </c>
      <c r="AA542" s="12">
        <f t="shared" si="854"/>
        <v>0</v>
      </c>
      <c r="AB542" s="12">
        <f t="shared" si="854"/>
        <v>0</v>
      </c>
      <c r="AC542" s="12">
        <f t="shared" si="854"/>
        <v>0</v>
      </c>
      <c r="AD542" s="12">
        <f t="shared" si="854"/>
        <v>0</v>
      </c>
      <c r="AE542" s="12">
        <f t="shared" si="854"/>
        <v>0</v>
      </c>
      <c r="AF542" s="12">
        <f t="shared" si="854"/>
        <v>0</v>
      </c>
      <c r="AG542" s="12">
        <f>SUM(AG543:AG544)</f>
        <v>0</v>
      </c>
      <c r="AH542" s="12">
        <f t="shared" si="854"/>
        <v>0</v>
      </c>
      <c r="AI542" s="12">
        <f t="shared" si="854"/>
        <v>0</v>
      </c>
      <c r="AJ542" s="12">
        <f t="shared" si="854"/>
        <v>0</v>
      </c>
      <c r="AK542" s="12">
        <f t="shared" si="854"/>
        <v>0</v>
      </c>
      <c r="AL542" s="12">
        <f t="shared" si="854"/>
        <v>0</v>
      </c>
      <c r="AM542" s="12">
        <f t="shared" si="854"/>
        <v>0</v>
      </c>
    </row>
    <row r="543" spans="1:39" ht="47.25" outlineLevel="2" x14ac:dyDescent="0.25">
      <c r="A543" s="16" t="s">
        <v>437</v>
      </c>
      <c r="B543" s="6" t="s">
        <v>438</v>
      </c>
      <c r="C543" s="26" t="s">
        <v>32</v>
      </c>
      <c r="D543" s="26" t="s">
        <v>32</v>
      </c>
      <c r="E543" s="20">
        <f>SUM(F543:I543)</f>
        <v>9365</v>
      </c>
      <c r="F543" s="38">
        <f t="shared" si="853"/>
        <v>0</v>
      </c>
      <c r="G543" s="38">
        <f t="shared" si="853"/>
        <v>0</v>
      </c>
      <c r="H543" s="38">
        <f t="shared" si="853"/>
        <v>9365</v>
      </c>
      <c r="I543" s="38">
        <f t="shared" si="853"/>
        <v>0</v>
      </c>
      <c r="J543" s="12">
        <f>L543+M543+N543</f>
        <v>0</v>
      </c>
      <c r="K543" s="13">
        <v>0</v>
      </c>
      <c r="L543" s="38">
        <v>0</v>
      </c>
      <c r="M543" s="13">
        <v>0</v>
      </c>
      <c r="N543" s="13">
        <v>0</v>
      </c>
      <c r="O543" s="12">
        <f>Q543+R543+S543</f>
        <v>9365</v>
      </c>
      <c r="P543" s="13">
        <v>0</v>
      </c>
      <c r="Q543" s="13">
        <v>0</v>
      </c>
      <c r="R543" s="13">
        <f>9381.1-16.1</f>
        <v>9365</v>
      </c>
      <c r="S543" s="13">
        <v>0</v>
      </c>
      <c r="T543" s="12">
        <f>V543+W543+X543</f>
        <v>0</v>
      </c>
      <c r="U543" s="13">
        <v>0</v>
      </c>
      <c r="V543" s="13">
        <v>0</v>
      </c>
      <c r="W543" s="13">
        <v>0</v>
      </c>
      <c r="X543" s="13">
        <v>0</v>
      </c>
      <c r="Y543" s="12">
        <f>AA543+AB543+AC543</f>
        <v>0</v>
      </c>
      <c r="Z543" s="13">
        <v>0</v>
      </c>
      <c r="AA543" s="13">
        <v>0</v>
      </c>
      <c r="AB543" s="13">
        <v>0</v>
      </c>
      <c r="AC543" s="13">
        <v>0</v>
      </c>
      <c r="AD543" s="12">
        <f>AF543+AG543+AH543</f>
        <v>0</v>
      </c>
      <c r="AE543" s="13">
        <v>0</v>
      </c>
      <c r="AF543" s="13">
        <v>0</v>
      </c>
      <c r="AG543" s="13">
        <v>0</v>
      </c>
      <c r="AH543" s="13">
        <v>0</v>
      </c>
      <c r="AI543" s="12">
        <f>AK543+AL543+AM543</f>
        <v>0</v>
      </c>
      <c r="AJ543" s="13">
        <v>0</v>
      </c>
      <c r="AK543" s="13">
        <v>0</v>
      </c>
      <c r="AL543" s="13">
        <v>0</v>
      </c>
      <c r="AM543" s="13">
        <v>0</v>
      </c>
    </row>
    <row r="544" spans="1:39" ht="47.25" outlineLevel="2" x14ac:dyDescent="0.25">
      <c r="A544" s="16" t="s">
        <v>813</v>
      </c>
      <c r="B544" s="6" t="s">
        <v>812</v>
      </c>
      <c r="C544" s="26" t="s">
        <v>32</v>
      </c>
      <c r="D544" s="26" t="s">
        <v>32</v>
      </c>
      <c r="E544" s="20">
        <f>SUM(F544:I544)</f>
        <v>18000</v>
      </c>
      <c r="F544" s="38">
        <f>K544+P544+U544+Z544+AE544+AJ544</f>
        <v>0</v>
      </c>
      <c r="G544" s="38">
        <f>L544+Q544+V544+AA544+AF544+AK544</f>
        <v>0</v>
      </c>
      <c r="H544" s="38">
        <f>M544+R544+W544+AB544+AG544+AL544</f>
        <v>18000</v>
      </c>
      <c r="I544" s="38">
        <f>N544+S544+X544+AC544+AH544+AM544</f>
        <v>0</v>
      </c>
      <c r="J544" s="12">
        <f>L544+M544+N544</f>
        <v>0</v>
      </c>
      <c r="K544" s="13">
        <v>0</v>
      </c>
      <c r="L544" s="38">
        <v>0</v>
      </c>
      <c r="M544" s="13">
        <v>0</v>
      </c>
      <c r="N544" s="13">
        <v>0</v>
      </c>
      <c r="O544" s="12">
        <f>Q544+R544+S544</f>
        <v>0</v>
      </c>
      <c r="P544" s="13">
        <v>0</v>
      </c>
      <c r="Q544" s="13">
        <v>0</v>
      </c>
      <c r="R544" s="13">
        <v>0</v>
      </c>
      <c r="S544" s="13">
        <v>0</v>
      </c>
      <c r="T544" s="12">
        <f>V544+W544+X544</f>
        <v>18000</v>
      </c>
      <c r="U544" s="13">
        <v>0</v>
      </c>
      <c r="V544" s="13">
        <v>0</v>
      </c>
      <c r="W544" s="13">
        <v>18000</v>
      </c>
      <c r="X544" s="13">
        <v>0</v>
      </c>
      <c r="Y544" s="12">
        <f>AA544+AB544+AC544</f>
        <v>0</v>
      </c>
      <c r="Z544" s="13">
        <v>0</v>
      </c>
      <c r="AA544" s="13">
        <v>0</v>
      </c>
      <c r="AB544" s="13">
        <v>0</v>
      </c>
      <c r="AC544" s="13">
        <v>0</v>
      </c>
      <c r="AD544" s="12">
        <f>AF544+AG544+AH544</f>
        <v>0</v>
      </c>
      <c r="AE544" s="13">
        <v>0</v>
      </c>
      <c r="AF544" s="13">
        <v>0</v>
      </c>
      <c r="AG544" s="13">
        <v>0</v>
      </c>
      <c r="AH544" s="13">
        <v>0</v>
      </c>
      <c r="AI544" s="12">
        <f>AK544+AL544+AM544</f>
        <v>0</v>
      </c>
      <c r="AJ544" s="13">
        <v>0</v>
      </c>
      <c r="AK544" s="13">
        <v>0</v>
      </c>
      <c r="AL544" s="13">
        <v>0</v>
      </c>
      <c r="AM544" s="13">
        <v>0</v>
      </c>
    </row>
    <row r="545" spans="1:39" ht="35.25" customHeight="1" outlineLevel="2" x14ac:dyDescent="0.25">
      <c r="A545" s="58" t="s">
        <v>467</v>
      </c>
      <c r="B545" s="190" t="s">
        <v>475</v>
      </c>
      <c r="C545" s="191"/>
      <c r="D545" s="191"/>
      <c r="E545" s="59">
        <f t="shared" ref="E545:R545" si="855">SUM(E546:E546)</f>
        <v>80973.700000000012</v>
      </c>
      <c r="F545" s="59">
        <f t="shared" si="855"/>
        <v>0</v>
      </c>
      <c r="G545" s="59">
        <f t="shared" si="855"/>
        <v>0</v>
      </c>
      <c r="H545" s="59">
        <f t="shared" si="855"/>
        <v>80973.700000000012</v>
      </c>
      <c r="I545" s="59">
        <f t="shared" si="855"/>
        <v>0</v>
      </c>
      <c r="J545" s="59">
        <f t="shared" si="855"/>
        <v>0</v>
      </c>
      <c r="K545" s="59">
        <f t="shared" si="855"/>
        <v>0</v>
      </c>
      <c r="L545" s="59">
        <f t="shared" si="855"/>
        <v>0</v>
      </c>
      <c r="M545" s="59">
        <f t="shared" si="855"/>
        <v>0</v>
      </c>
      <c r="N545" s="59">
        <f t="shared" si="855"/>
        <v>0</v>
      </c>
      <c r="O545" s="59">
        <f t="shared" si="855"/>
        <v>38621</v>
      </c>
      <c r="P545" s="59">
        <f t="shared" si="855"/>
        <v>0</v>
      </c>
      <c r="Q545" s="59">
        <f t="shared" si="855"/>
        <v>0</v>
      </c>
      <c r="R545" s="59">
        <f t="shared" si="855"/>
        <v>38621</v>
      </c>
      <c r="S545" s="59">
        <f t="shared" ref="S545:AM545" si="856">SUM(S546:S546)</f>
        <v>0</v>
      </c>
      <c r="T545" s="59">
        <f t="shared" si="856"/>
        <v>42352.700000000004</v>
      </c>
      <c r="U545" s="59">
        <f t="shared" si="856"/>
        <v>0</v>
      </c>
      <c r="V545" s="59">
        <f t="shared" si="856"/>
        <v>0</v>
      </c>
      <c r="W545" s="59">
        <f t="shared" si="856"/>
        <v>42352.700000000004</v>
      </c>
      <c r="X545" s="59">
        <f t="shared" si="856"/>
        <v>0</v>
      </c>
      <c r="Y545" s="59">
        <f t="shared" si="856"/>
        <v>0</v>
      </c>
      <c r="Z545" s="59">
        <f t="shared" si="856"/>
        <v>0</v>
      </c>
      <c r="AA545" s="59">
        <f t="shared" si="856"/>
        <v>0</v>
      </c>
      <c r="AB545" s="59">
        <f t="shared" si="856"/>
        <v>0</v>
      </c>
      <c r="AC545" s="59">
        <f t="shared" si="856"/>
        <v>0</v>
      </c>
      <c r="AD545" s="59">
        <f t="shared" si="856"/>
        <v>0</v>
      </c>
      <c r="AE545" s="59">
        <f t="shared" si="856"/>
        <v>0</v>
      </c>
      <c r="AF545" s="59">
        <f t="shared" si="856"/>
        <v>0</v>
      </c>
      <c r="AG545" s="59">
        <f t="shared" si="856"/>
        <v>0</v>
      </c>
      <c r="AH545" s="59">
        <f t="shared" si="856"/>
        <v>0</v>
      </c>
      <c r="AI545" s="59">
        <f t="shared" si="856"/>
        <v>0</v>
      </c>
      <c r="AJ545" s="59">
        <f t="shared" si="856"/>
        <v>0</v>
      </c>
      <c r="AK545" s="59">
        <f t="shared" si="856"/>
        <v>0</v>
      </c>
      <c r="AL545" s="59">
        <f t="shared" si="856"/>
        <v>0</v>
      </c>
      <c r="AM545" s="59">
        <f t="shared" si="856"/>
        <v>0</v>
      </c>
    </row>
    <row r="546" spans="1:39" ht="31.5" x14ac:dyDescent="0.25">
      <c r="A546" s="16" t="s">
        <v>469</v>
      </c>
      <c r="B546" s="113" t="s">
        <v>468</v>
      </c>
      <c r="C546" s="26" t="s">
        <v>32</v>
      </c>
      <c r="D546" s="26" t="s">
        <v>118</v>
      </c>
      <c r="E546" s="20">
        <f>SUM(F546:I546)</f>
        <v>80973.700000000012</v>
      </c>
      <c r="F546" s="38">
        <f>K546+P546+U546+Z546+AE546+AJ546</f>
        <v>0</v>
      </c>
      <c r="G546" s="38">
        <f>L546+Q546+V546+AA546+AF546+AK546</f>
        <v>0</v>
      </c>
      <c r="H546" s="38">
        <f>M546+R546+W546+AB546+AG546+AL546</f>
        <v>80973.700000000012</v>
      </c>
      <c r="I546" s="38">
        <f>N546+S546+X546+AC546+AH546+AM546</f>
        <v>0</v>
      </c>
      <c r="J546" s="12">
        <f>L546+M546+N546</f>
        <v>0</v>
      </c>
      <c r="K546" s="13">
        <v>0</v>
      </c>
      <c r="L546" s="13">
        <v>0</v>
      </c>
      <c r="M546" s="13">
        <v>0</v>
      </c>
      <c r="N546" s="13">
        <v>0</v>
      </c>
      <c r="O546" s="60">
        <f>R546</f>
        <v>38621</v>
      </c>
      <c r="P546" s="13">
        <v>0</v>
      </c>
      <c r="Q546" s="13">
        <v>0</v>
      </c>
      <c r="R546" s="110">
        <f>12232.2+9062.7+10647.3+3250.6+3428.2</f>
        <v>38621</v>
      </c>
      <c r="S546" s="13">
        <v>0</v>
      </c>
      <c r="T546" s="12">
        <f>V546+W546+X546</f>
        <v>42352.700000000004</v>
      </c>
      <c r="U546" s="13">
        <v>0</v>
      </c>
      <c r="V546" s="13">
        <v>0</v>
      </c>
      <c r="W546" s="13">
        <f>17740+7037.4+6943+3605.8+7026.5</f>
        <v>42352.700000000004</v>
      </c>
      <c r="X546" s="13">
        <v>0</v>
      </c>
      <c r="Y546" s="12">
        <f>AA546+AB546+AC546</f>
        <v>0</v>
      </c>
      <c r="Z546" s="13">
        <v>0</v>
      </c>
      <c r="AA546" s="13">
        <v>0</v>
      </c>
      <c r="AB546" s="13">
        <v>0</v>
      </c>
      <c r="AC546" s="13">
        <v>0</v>
      </c>
      <c r="AD546" s="12">
        <f>AF546+AG546+AH546</f>
        <v>0</v>
      </c>
      <c r="AE546" s="13">
        <v>0</v>
      </c>
      <c r="AF546" s="13">
        <v>0</v>
      </c>
      <c r="AG546" s="13">
        <v>0</v>
      </c>
      <c r="AH546" s="13">
        <v>0</v>
      </c>
      <c r="AI546" s="12">
        <f>AK546+AL546+AM546</f>
        <v>0</v>
      </c>
      <c r="AJ546" s="13">
        <v>0</v>
      </c>
      <c r="AK546" s="13">
        <v>0</v>
      </c>
      <c r="AL546" s="13">
        <v>0</v>
      </c>
      <c r="AM546" s="13">
        <v>0</v>
      </c>
    </row>
    <row r="547" spans="1:39" ht="35.25" customHeight="1" outlineLevel="2" x14ac:dyDescent="0.25">
      <c r="A547" s="58" t="s">
        <v>766</v>
      </c>
      <c r="B547" s="190" t="s">
        <v>768</v>
      </c>
      <c r="C547" s="191"/>
      <c r="D547" s="191"/>
      <c r="E547" s="59">
        <f>SUM(E548:E549)</f>
        <v>1302.6999999999998</v>
      </c>
      <c r="F547" s="59">
        <f t="shared" ref="F547:AM547" si="857">SUM(F548:F549)</f>
        <v>0</v>
      </c>
      <c r="G547" s="59">
        <f>SUM(G548:G549)</f>
        <v>0</v>
      </c>
      <c r="H547" s="59">
        <f t="shared" si="857"/>
        <v>1302.6999999999998</v>
      </c>
      <c r="I547" s="59">
        <f t="shared" si="857"/>
        <v>0</v>
      </c>
      <c r="J547" s="59">
        <f t="shared" si="857"/>
        <v>0</v>
      </c>
      <c r="K547" s="59">
        <f t="shared" si="857"/>
        <v>0</v>
      </c>
      <c r="L547" s="59">
        <f t="shared" si="857"/>
        <v>0</v>
      </c>
      <c r="M547" s="59">
        <f t="shared" si="857"/>
        <v>0</v>
      </c>
      <c r="N547" s="59">
        <f t="shared" si="857"/>
        <v>0</v>
      </c>
      <c r="O547" s="59">
        <f t="shared" si="857"/>
        <v>0</v>
      </c>
      <c r="P547" s="59">
        <f t="shared" si="857"/>
        <v>0</v>
      </c>
      <c r="Q547" s="59">
        <f t="shared" si="857"/>
        <v>0</v>
      </c>
      <c r="R547" s="59">
        <f t="shared" si="857"/>
        <v>0</v>
      </c>
      <c r="S547" s="59">
        <f t="shared" si="857"/>
        <v>0</v>
      </c>
      <c r="T547" s="59">
        <f t="shared" si="857"/>
        <v>1302.6999999999998</v>
      </c>
      <c r="U547" s="59">
        <f t="shared" si="857"/>
        <v>0</v>
      </c>
      <c r="V547" s="59">
        <f t="shared" si="857"/>
        <v>0</v>
      </c>
      <c r="W547" s="59">
        <f t="shared" si="857"/>
        <v>1302.6999999999998</v>
      </c>
      <c r="X547" s="59">
        <f t="shared" si="857"/>
        <v>0</v>
      </c>
      <c r="Y547" s="59">
        <f t="shared" si="857"/>
        <v>0</v>
      </c>
      <c r="Z547" s="59">
        <f t="shared" si="857"/>
        <v>0</v>
      </c>
      <c r="AA547" s="59">
        <f t="shared" si="857"/>
        <v>0</v>
      </c>
      <c r="AB547" s="59">
        <f t="shared" si="857"/>
        <v>0</v>
      </c>
      <c r="AC547" s="59">
        <f t="shared" si="857"/>
        <v>0</v>
      </c>
      <c r="AD547" s="59">
        <f t="shared" si="857"/>
        <v>0</v>
      </c>
      <c r="AE547" s="59">
        <f t="shared" si="857"/>
        <v>0</v>
      </c>
      <c r="AF547" s="59">
        <f t="shared" si="857"/>
        <v>0</v>
      </c>
      <c r="AG547" s="59">
        <f t="shared" si="857"/>
        <v>0</v>
      </c>
      <c r="AH547" s="59">
        <f t="shared" si="857"/>
        <v>0</v>
      </c>
      <c r="AI547" s="59">
        <f t="shared" si="857"/>
        <v>0</v>
      </c>
      <c r="AJ547" s="59">
        <f t="shared" si="857"/>
        <v>0</v>
      </c>
      <c r="AK547" s="59">
        <f t="shared" si="857"/>
        <v>0</v>
      </c>
      <c r="AL547" s="59">
        <f t="shared" si="857"/>
        <v>0</v>
      </c>
      <c r="AM547" s="59">
        <f t="shared" si="857"/>
        <v>0</v>
      </c>
    </row>
    <row r="548" spans="1:39" ht="47.25" x14ac:dyDescent="0.25">
      <c r="A548" s="16" t="s">
        <v>767</v>
      </c>
      <c r="B548" s="113" t="s">
        <v>868</v>
      </c>
      <c r="C548" s="26" t="s">
        <v>32</v>
      </c>
      <c r="D548" s="26" t="s">
        <v>118</v>
      </c>
      <c r="E548" s="20">
        <f>SUM(F548:I548)</f>
        <v>658.4</v>
      </c>
      <c r="F548" s="38">
        <f>K548+P548+U548+Z548+AE548+AJ548</f>
        <v>0</v>
      </c>
      <c r="G548" s="38">
        <f>L548+Q548+V548+AA548+AF548+AK548</f>
        <v>0</v>
      </c>
      <c r="H548" s="38">
        <f>M548+R548+W548+AB548+AG548+AL548</f>
        <v>658.4</v>
      </c>
      <c r="I548" s="38">
        <f>N548+S548+X548+AC548+AH548+AM548</f>
        <v>0</v>
      </c>
      <c r="J548" s="12">
        <f>L548+M548+N548</f>
        <v>0</v>
      </c>
      <c r="K548" s="13">
        <v>0</v>
      </c>
      <c r="L548" s="13">
        <v>0</v>
      </c>
      <c r="M548" s="13">
        <v>0</v>
      </c>
      <c r="N548" s="13">
        <v>0</v>
      </c>
      <c r="O548" s="95">
        <f>R548</f>
        <v>0</v>
      </c>
      <c r="P548" s="13">
        <v>0</v>
      </c>
      <c r="Q548" s="13">
        <v>0</v>
      </c>
      <c r="R548" s="13">
        <v>0</v>
      </c>
      <c r="S548" s="13">
        <v>0</v>
      </c>
      <c r="T548" s="12">
        <f>V548+W548+X548</f>
        <v>658.4</v>
      </c>
      <c r="U548" s="13">
        <v>0</v>
      </c>
      <c r="V548" s="13">
        <v>0</v>
      </c>
      <c r="W548" s="13">
        <f>1000-341.6</f>
        <v>658.4</v>
      </c>
      <c r="X548" s="13">
        <v>0</v>
      </c>
      <c r="Y548" s="12">
        <f>AA548+AB548+AC548</f>
        <v>0</v>
      </c>
      <c r="Z548" s="13">
        <v>0</v>
      </c>
      <c r="AA548" s="13">
        <v>0</v>
      </c>
      <c r="AB548" s="13">
        <v>0</v>
      </c>
      <c r="AC548" s="13">
        <v>0</v>
      </c>
      <c r="AD548" s="12">
        <f>AF548+AG548+AH548</f>
        <v>0</v>
      </c>
      <c r="AE548" s="13">
        <v>0</v>
      </c>
      <c r="AF548" s="13">
        <v>0</v>
      </c>
      <c r="AG548" s="13">
        <v>0</v>
      </c>
      <c r="AH548" s="13">
        <v>0</v>
      </c>
      <c r="AI548" s="12">
        <f>AK548+AL548+AM548</f>
        <v>0</v>
      </c>
      <c r="AJ548" s="13">
        <v>0</v>
      </c>
      <c r="AK548" s="13">
        <v>0</v>
      </c>
      <c r="AL548" s="13">
        <v>0</v>
      </c>
      <c r="AM548" s="13">
        <v>0</v>
      </c>
    </row>
    <row r="549" spans="1:39" ht="38.25" customHeight="1" x14ac:dyDescent="0.25">
      <c r="A549" s="16" t="s">
        <v>908</v>
      </c>
      <c r="B549" s="223" t="s">
        <v>909</v>
      </c>
      <c r="C549" s="224"/>
      <c r="D549" s="225"/>
      <c r="E549" s="20">
        <f>SUM(E550:E552)</f>
        <v>644.29999999999995</v>
      </c>
      <c r="F549" s="20">
        <f t="shared" ref="F549:AM549" si="858">SUM(F550:F552)</f>
        <v>0</v>
      </c>
      <c r="G549" s="20">
        <f t="shared" si="858"/>
        <v>0</v>
      </c>
      <c r="H549" s="20">
        <f t="shared" si="858"/>
        <v>644.29999999999995</v>
      </c>
      <c r="I549" s="20">
        <f t="shared" si="858"/>
        <v>0</v>
      </c>
      <c r="J549" s="20">
        <f t="shared" si="858"/>
        <v>0</v>
      </c>
      <c r="K549" s="20">
        <f t="shared" si="858"/>
        <v>0</v>
      </c>
      <c r="L549" s="20">
        <f t="shared" si="858"/>
        <v>0</v>
      </c>
      <c r="M549" s="20">
        <f t="shared" si="858"/>
        <v>0</v>
      </c>
      <c r="N549" s="20">
        <f t="shared" si="858"/>
        <v>0</v>
      </c>
      <c r="O549" s="20">
        <f t="shared" si="858"/>
        <v>0</v>
      </c>
      <c r="P549" s="20">
        <f t="shared" si="858"/>
        <v>0</v>
      </c>
      <c r="Q549" s="20">
        <f t="shared" si="858"/>
        <v>0</v>
      </c>
      <c r="R549" s="20">
        <f t="shared" si="858"/>
        <v>0</v>
      </c>
      <c r="S549" s="20">
        <f t="shared" si="858"/>
        <v>0</v>
      </c>
      <c r="T549" s="20">
        <f t="shared" si="858"/>
        <v>644.29999999999995</v>
      </c>
      <c r="U549" s="20">
        <f t="shared" si="858"/>
        <v>0</v>
      </c>
      <c r="V549" s="20">
        <f t="shared" si="858"/>
        <v>0</v>
      </c>
      <c r="W549" s="20">
        <f t="shared" si="858"/>
        <v>644.29999999999995</v>
      </c>
      <c r="X549" s="20">
        <f t="shared" si="858"/>
        <v>0</v>
      </c>
      <c r="Y549" s="20">
        <f t="shared" si="858"/>
        <v>0</v>
      </c>
      <c r="Z549" s="20">
        <f t="shared" si="858"/>
        <v>0</v>
      </c>
      <c r="AA549" s="20">
        <f t="shared" si="858"/>
        <v>0</v>
      </c>
      <c r="AB549" s="20">
        <f t="shared" si="858"/>
        <v>0</v>
      </c>
      <c r="AC549" s="20">
        <f t="shared" si="858"/>
        <v>0</v>
      </c>
      <c r="AD549" s="20">
        <f t="shared" si="858"/>
        <v>0</v>
      </c>
      <c r="AE549" s="20">
        <f t="shared" si="858"/>
        <v>0</v>
      </c>
      <c r="AF549" s="20">
        <f t="shared" si="858"/>
        <v>0</v>
      </c>
      <c r="AG549" s="20">
        <f t="shared" si="858"/>
        <v>0</v>
      </c>
      <c r="AH549" s="20">
        <f t="shared" si="858"/>
        <v>0</v>
      </c>
      <c r="AI549" s="20">
        <f t="shared" si="858"/>
        <v>0</v>
      </c>
      <c r="AJ549" s="20">
        <f t="shared" si="858"/>
        <v>0</v>
      </c>
      <c r="AK549" s="20">
        <f t="shared" si="858"/>
        <v>0</v>
      </c>
      <c r="AL549" s="20">
        <f t="shared" si="858"/>
        <v>0</v>
      </c>
      <c r="AM549" s="20">
        <f t="shared" si="858"/>
        <v>0</v>
      </c>
    </row>
    <row r="550" spans="1:39" ht="31.5" x14ac:dyDescent="0.25">
      <c r="A550" s="124" t="s">
        <v>911</v>
      </c>
      <c r="B550" s="127" t="s">
        <v>519</v>
      </c>
      <c r="C550" s="26" t="s">
        <v>32</v>
      </c>
      <c r="D550" s="26" t="s">
        <v>118</v>
      </c>
      <c r="E550" s="20">
        <f>SUM(F550:I550)</f>
        <v>356.7</v>
      </c>
      <c r="F550" s="38">
        <f t="shared" ref="F550:I552" si="859">K550+P550+U550+Z550+AE550+AJ550</f>
        <v>0</v>
      </c>
      <c r="G550" s="38">
        <f t="shared" si="859"/>
        <v>0</v>
      </c>
      <c r="H550" s="38">
        <f t="shared" si="859"/>
        <v>356.7</v>
      </c>
      <c r="I550" s="38">
        <f t="shared" si="859"/>
        <v>0</v>
      </c>
      <c r="J550" s="12">
        <f>L550+M550+N550</f>
        <v>0</v>
      </c>
      <c r="K550" s="13">
        <v>0</v>
      </c>
      <c r="L550" s="13">
        <v>0</v>
      </c>
      <c r="M550" s="13">
        <v>0</v>
      </c>
      <c r="N550" s="13">
        <v>0</v>
      </c>
      <c r="O550" s="95">
        <f>R550</f>
        <v>0</v>
      </c>
      <c r="P550" s="13">
        <v>0</v>
      </c>
      <c r="Q550" s="13">
        <v>0</v>
      </c>
      <c r="R550" s="13">
        <v>0</v>
      </c>
      <c r="S550" s="13">
        <v>0</v>
      </c>
      <c r="T550" s="12">
        <f>V550+W550+X550</f>
        <v>356.7</v>
      </c>
      <c r="U550" s="13">
        <v>0</v>
      </c>
      <c r="V550" s="13">
        <v>0</v>
      </c>
      <c r="W550" s="13">
        <v>356.7</v>
      </c>
      <c r="X550" s="13">
        <v>0</v>
      </c>
      <c r="Y550" s="12">
        <f>AA550+AB550+AC550</f>
        <v>0</v>
      </c>
      <c r="Z550" s="13">
        <v>0</v>
      </c>
      <c r="AA550" s="13">
        <v>0</v>
      </c>
      <c r="AB550" s="13">
        <v>0</v>
      </c>
      <c r="AC550" s="13">
        <v>0</v>
      </c>
      <c r="AD550" s="12">
        <f>AF550+AG550+AH550</f>
        <v>0</v>
      </c>
      <c r="AE550" s="13">
        <v>0</v>
      </c>
      <c r="AF550" s="13">
        <v>0</v>
      </c>
      <c r="AG550" s="13">
        <v>0</v>
      </c>
      <c r="AH550" s="13">
        <v>0</v>
      </c>
      <c r="AI550" s="12">
        <f>AK550+AL550+AM550</f>
        <v>0</v>
      </c>
      <c r="AJ550" s="13">
        <v>0</v>
      </c>
      <c r="AK550" s="13">
        <v>0</v>
      </c>
      <c r="AL550" s="13">
        <v>0</v>
      </c>
      <c r="AM550" s="13">
        <v>0</v>
      </c>
    </row>
    <row r="551" spans="1:39" ht="31.5" x14ac:dyDescent="0.25">
      <c r="A551" s="124" t="s">
        <v>912</v>
      </c>
      <c r="B551" s="127" t="s">
        <v>507</v>
      </c>
      <c r="C551" s="26" t="s">
        <v>32</v>
      </c>
      <c r="D551" s="26" t="s">
        <v>118</v>
      </c>
      <c r="E551" s="20">
        <f>SUM(F551:I551)</f>
        <v>17.899999999999999</v>
      </c>
      <c r="F551" s="38">
        <f t="shared" si="859"/>
        <v>0</v>
      </c>
      <c r="G551" s="38">
        <f t="shared" si="859"/>
        <v>0</v>
      </c>
      <c r="H551" s="38">
        <f t="shared" si="859"/>
        <v>17.899999999999999</v>
      </c>
      <c r="I551" s="38">
        <f t="shared" si="859"/>
        <v>0</v>
      </c>
      <c r="J551" s="12">
        <f>L551+M551+N551</f>
        <v>0</v>
      </c>
      <c r="K551" s="13">
        <v>0</v>
      </c>
      <c r="L551" s="13">
        <v>0</v>
      </c>
      <c r="M551" s="13">
        <v>0</v>
      </c>
      <c r="N551" s="13">
        <v>0</v>
      </c>
      <c r="O551" s="95">
        <f>R551</f>
        <v>0</v>
      </c>
      <c r="P551" s="13">
        <v>0</v>
      </c>
      <c r="Q551" s="13">
        <v>0</v>
      </c>
      <c r="R551" s="13">
        <v>0</v>
      </c>
      <c r="S551" s="13">
        <v>0</v>
      </c>
      <c r="T551" s="12">
        <f>V551+W551+X551</f>
        <v>17.899999999999999</v>
      </c>
      <c r="U551" s="13">
        <v>0</v>
      </c>
      <c r="V551" s="13">
        <v>0</v>
      </c>
      <c r="W551" s="13">
        <v>17.899999999999999</v>
      </c>
      <c r="X551" s="13">
        <v>0</v>
      </c>
      <c r="Y551" s="12">
        <f>AA551+AB551+AC551</f>
        <v>0</v>
      </c>
      <c r="Z551" s="13">
        <v>0</v>
      </c>
      <c r="AA551" s="13">
        <v>0</v>
      </c>
      <c r="AB551" s="13">
        <v>0</v>
      </c>
      <c r="AC551" s="13">
        <v>0</v>
      </c>
      <c r="AD551" s="12">
        <f>AF551+AG551+AH551</f>
        <v>0</v>
      </c>
      <c r="AE551" s="13">
        <v>0</v>
      </c>
      <c r="AF551" s="13">
        <v>0</v>
      </c>
      <c r="AG551" s="13">
        <v>0</v>
      </c>
      <c r="AH551" s="13">
        <v>0</v>
      </c>
      <c r="AI551" s="12">
        <f>AK551+AL551+AM551</f>
        <v>0</v>
      </c>
      <c r="AJ551" s="13">
        <v>0</v>
      </c>
      <c r="AK551" s="13">
        <v>0</v>
      </c>
      <c r="AL551" s="13">
        <v>0</v>
      </c>
      <c r="AM551" s="13">
        <v>0</v>
      </c>
    </row>
    <row r="552" spans="1:39" ht="31.5" x14ac:dyDescent="0.25">
      <c r="A552" s="124" t="s">
        <v>913</v>
      </c>
      <c r="B552" s="127" t="s">
        <v>910</v>
      </c>
      <c r="C552" s="26" t="s">
        <v>32</v>
      </c>
      <c r="D552" s="26" t="s">
        <v>118</v>
      </c>
      <c r="E552" s="20">
        <f>SUM(F552:I552)</f>
        <v>269.7</v>
      </c>
      <c r="F552" s="38">
        <f t="shared" si="859"/>
        <v>0</v>
      </c>
      <c r="G552" s="38">
        <f t="shared" si="859"/>
        <v>0</v>
      </c>
      <c r="H552" s="38">
        <f t="shared" si="859"/>
        <v>269.7</v>
      </c>
      <c r="I552" s="38">
        <f t="shared" si="859"/>
        <v>0</v>
      </c>
      <c r="J552" s="12">
        <f>L552+M552+N552</f>
        <v>0</v>
      </c>
      <c r="K552" s="13">
        <v>0</v>
      </c>
      <c r="L552" s="13">
        <v>0</v>
      </c>
      <c r="M552" s="13">
        <v>0</v>
      </c>
      <c r="N552" s="13">
        <v>0</v>
      </c>
      <c r="O552" s="95">
        <f>R552</f>
        <v>0</v>
      </c>
      <c r="P552" s="13">
        <v>0</v>
      </c>
      <c r="Q552" s="13">
        <v>0</v>
      </c>
      <c r="R552" s="13">
        <v>0</v>
      </c>
      <c r="S552" s="13">
        <v>0</v>
      </c>
      <c r="T552" s="12">
        <f>V552+W552+X552</f>
        <v>269.7</v>
      </c>
      <c r="U552" s="13">
        <v>0</v>
      </c>
      <c r="V552" s="13">
        <v>0</v>
      </c>
      <c r="W552" s="13">
        <v>269.7</v>
      </c>
      <c r="X552" s="13">
        <v>0</v>
      </c>
      <c r="Y552" s="12">
        <f>AA552+AB552+AC552</f>
        <v>0</v>
      </c>
      <c r="Z552" s="13">
        <v>0</v>
      </c>
      <c r="AA552" s="13">
        <v>0</v>
      </c>
      <c r="AB552" s="13">
        <v>0</v>
      </c>
      <c r="AC552" s="13">
        <v>0</v>
      </c>
      <c r="AD552" s="12">
        <f>AF552+AG552+AH552</f>
        <v>0</v>
      </c>
      <c r="AE552" s="13">
        <v>0</v>
      </c>
      <c r="AF552" s="13">
        <v>0</v>
      </c>
      <c r="AG552" s="13">
        <v>0</v>
      </c>
      <c r="AH552" s="13">
        <v>0</v>
      </c>
      <c r="AI552" s="12">
        <f>AK552+AL552+AM552</f>
        <v>0</v>
      </c>
      <c r="AJ552" s="13">
        <v>0</v>
      </c>
      <c r="AK552" s="13">
        <v>0</v>
      </c>
      <c r="AL552" s="13">
        <v>0</v>
      </c>
      <c r="AM552" s="13">
        <v>0</v>
      </c>
    </row>
    <row r="553" spans="1:39" ht="81.75" customHeight="1" x14ac:dyDescent="0.25">
      <c r="A553" s="56" t="s">
        <v>899</v>
      </c>
      <c r="B553" s="226" t="s">
        <v>914</v>
      </c>
      <c r="C553" s="227"/>
      <c r="D553" s="227"/>
      <c r="E553" s="59">
        <f>SUM(E554:E556)</f>
        <v>18390.300000000003</v>
      </c>
      <c r="F553" s="59">
        <f t="shared" ref="F553:AM553" si="860">SUM(F554:F556)</f>
        <v>0</v>
      </c>
      <c r="G553" s="59">
        <f t="shared" si="860"/>
        <v>17475.099999999999</v>
      </c>
      <c r="H553" s="59">
        <f t="shared" si="860"/>
        <v>915.2</v>
      </c>
      <c r="I553" s="59">
        <f t="shared" si="860"/>
        <v>0</v>
      </c>
      <c r="J553" s="59">
        <f t="shared" si="860"/>
        <v>0</v>
      </c>
      <c r="K553" s="59">
        <f t="shared" si="860"/>
        <v>0</v>
      </c>
      <c r="L553" s="59">
        <f t="shared" si="860"/>
        <v>0</v>
      </c>
      <c r="M553" s="59">
        <f t="shared" si="860"/>
        <v>0</v>
      </c>
      <c r="N553" s="59">
        <f t="shared" si="860"/>
        <v>0</v>
      </c>
      <c r="O553" s="59">
        <f t="shared" si="860"/>
        <v>0</v>
      </c>
      <c r="P553" s="59">
        <f t="shared" si="860"/>
        <v>0</v>
      </c>
      <c r="Q553" s="59">
        <f t="shared" si="860"/>
        <v>0</v>
      </c>
      <c r="R553" s="59">
        <f t="shared" si="860"/>
        <v>0</v>
      </c>
      <c r="S553" s="59">
        <f t="shared" si="860"/>
        <v>0</v>
      </c>
      <c r="T553" s="59">
        <f t="shared" si="860"/>
        <v>18390.300000000003</v>
      </c>
      <c r="U553" s="59">
        <f t="shared" si="860"/>
        <v>0</v>
      </c>
      <c r="V553" s="59">
        <f t="shared" si="860"/>
        <v>17475.099999999999</v>
      </c>
      <c r="W553" s="59">
        <f t="shared" si="860"/>
        <v>915.2</v>
      </c>
      <c r="X553" s="59">
        <f t="shared" si="860"/>
        <v>0</v>
      </c>
      <c r="Y553" s="59">
        <f t="shared" si="860"/>
        <v>0</v>
      </c>
      <c r="Z553" s="59">
        <f t="shared" si="860"/>
        <v>0</v>
      </c>
      <c r="AA553" s="59">
        <f t="shared" si="860"/>
        <v>0</v>
      </c>
      <c r="AB553" s="59">
        <f t="shared" si="860"/>
        <v>0</v>
      </c>
      <c r="AC553" s="59">
        <f t="shared" si="860"/>
        <v>0</v>
      </c>
      <c r="AD553" s="59">
        <f t="shared" si="860"/>
        <v>0</v>
      </c>
      <c r="AE553" s="59">
        <f t="shared" si="860"/>
        <v>0</v>
      </c>
      <c r="AF553" s="59">
        <f t="shared" si="860"/>
        <v>0</v>
      </c>
      <c r="AG553" s="59">
        <f t="shared" si="860"/>
        <v>0</v>
      </c>
      <c r="AH553" s="59">
        <f t="shared" si="860"/>
        <v>0</v>
      </c>
      <c r="AI553" s="59">
        <f t="shared" si="860"/>
        <v>0</v>
      </c>
      <c r="AJ553" s="59">
        <f t="shared" si="860"/>
        <v>0</v>
      </c>
      <c r="AK553" s="59">
        <f t="shared" si="860"/>
        <v>0</v>
      </c>
      <c r="AL553" s="59">
        <f t="shared" si="860"/>
        <v>0</v>
      </c>
      <c r="AM553" s="59">
        <f t="shared" si="860"/>
        <v>0</v>
      </c>
    </row>
    <row r="554" spans="1:39" ht="31.5" x14ac:dyDescent="0.25">
      <c r="A554" s="16" t="s">
        <v>916</v>
      </c>
      <c r="B554" s="6" t="s">
        <v>62</v>
      </c>
      <c r="C554" s="26" t="s">
        <v>32</v>
      </c>
      <c r="D554" s="26" t="s">
        <v>118</v>
      </c>
      <c r="E554" s="20">
        <f>SUM(F554:I554)</f>
        <v>374.7</v>
      </c>
      <c r="F554" s="38">
        <f t="shared" ref="F554:I556" si="861">K554+P554+U554+Z554+AE554+AJ554</f>
        <v>0</v>
      </c>
      <c r="G554" s="38">
        <f t="shared" si="861"/>
        <v>0</v>
      </c>
      <c r="H554" s="38">
        <f t="shared" si="861"/>
        <v>374.7</v>
      </c>
      <c r="I554" s="38">
        <f t="shared" si="861"/>
        <v>0</v>
      </c>
      <c r="J554" s="12">
        <f>L554+M554+N554</f>
        <v>0</v>
      </c>
      <c r="K554" s="13">
        <v>0</v>
      </c>
      <c r="L554" s="13">
        <v>0</v>
      </c>
      <c r="M554" s="13">
        <v>0</v>
      </c>
      <c r="N554" s="13">
        <v>0</v>
      </c>
      <c r="O554" s="95">
        <f>R554</f>
        <v>0</v>
      </c>
      <c r="P554" s="13">
        <v>0</v>
      </c>
      <c r="Q554" s="13">
        <v>0</v>
      </c>
      <c r="R554" s="13">
        <v>0</v>
      </c>
      <c r="S554" s="13">
        <v>0</v>
      </c>
      <c r="T554" s="12">
        <f>V554+W554+X554</f>
        <v>374.7</v>
      </c>
      <c r="U554" s="59">
        <v>0</v>
      </c>
      <c r="V554" s="59">
        <v>0</v>
      </c>
      <c r="W554" s="7">
        <v>374.7</v>
      </c>
      <c r="X554" s="13">
        <v>0</v>
      </c>
      <c r="Y554" s="12">
        <f>AA554+AB554+AC554</f>
        <v>0</v>
      </c>
      <c r="Z554" s="13">
        <v>0</v>
      </c>
      <c r="AA554" s="13">
        <v>0</v>
      </c>
      <c r="AB554" s="13">
        <v>0</v>
      </c>
      <c r="AC554" s="13">
        <v>0</v>
      </c>
      <c r="AD554" s="12">
        <f>AF554+AG554+AH554</f>
        <v>0</v>
      </c>
      <c r="AE554" s="13">
        <v>0</v>
      </c>
      <c r="AF554" s="13">
        <v>0</v>
      </c>
      <c r="AG554" s="13">
        <v>0</v>
      </c>
      <c r="AH554" s="13">
        <v>0</v>
      </c>
      <c r="AI554" s="12">
        <f>AK554+AL554+AM554</f>
        <v>0</v>
      </c>
      <c r="AJ554" s="13">
        <v>0</v>
      </c>
      <c r="AK554" s="13">
        <v>0</v>
      </c>
      <c r="AL554" s="13">
        <v>0</v>
      </c>
      <c r="AM554" s="13">
        <v>0</v>
      </c>
    </row>
    <row r="555" spans="1:39" ht="31.5" x14ac:dyDescent="0.25">
      <c r="A555" s="16" t="s">
        <v>915</v>
      </c>
      <c r="B555" s="131" t="s">
        <v>918</v>
      </c>
      <c r="C555" s="26" t="s">
        <v>32</v>
      </c>
      <c r="D555" s="26" t="s">
        <v>118</v>
      </c>
      <c r="E555" s="20">
        <f>SUM(F555:I555)</f>
        <v>8506.8000000000011</v>
      </c>
      <c r="F555" s="38">
        <f t="shared" si="861"/>
        <v>0</v>
      </c>
      <c r="G555" s="38">
        <f t="shared" si="861"/>
        <v>8251.6</v>
      </c>
      <c r="H555" s="38">
        <f t="shared" si="861"/>
        <v>255.2</v>
      </c>
      <c r="I555" s="38">
        <f t="shared" si="861"/>
        <v>0</v>
      </c>
      <c r="J555" s="12">
        <f>L555+M555+N555</f>
        <v>0</v>
      </c>
      <c r="K555" s="13">
        <v>0</v>
      </c>
      <c r="L555" s="13">
        <v>0</v>
      </c>
      <c r="M555" s="13">
        <v>0</v>
      </c>
      <c r="N555" s="13">
        <v>0</v>
      </c>
      <c r="O555" s="95">
        <f>R555</f>
        <v>0</v>
      </c>
      <c r="P555" s="13">
        <v>0</v>
      </c>
      <c r="Q555" s="13">
        <v>0</v>
      </c>
      <c r="R555" s="13">
        <v>0</v>
      </c>
      <c r="S555" s="13">
        <v>0</v>
      </c>
      <c r="T555" s="12">
        <f>V555+W555+X555</f>
        <v>8506.8000000000011</v>
      </c>
      <c r="U555" s="59">
        <v>0</v>
      </c>
      <c r="V555" s="123">
        <v>8251.6</v>
      </c>
      <c r="W555" s="7">
        <v>255.2</v>
      </c>
      <c r="X555" s="13">
        <v>0</v>
      </c>
      <c r="Y555" s="12">
        <f>AA555+AB555+AC555</f>
        <v>0</v>
      </c>
      <c r="Z555" s="13">
        <v>0</v>
      </c>
      <c r="AA555" s="13">
        <v>0</v>
      </c>
      <c r="AB555" s="13">
        <v>0</v>
      </c>
      <c r="AC555" s="13">
        <v>0</v>
      </c>
      <c r="AD555" s="12">
        <f>AF555+AG555+AH555</f>
        <v>0</v>
      </c>
      <c r="AE555" s="13">
        <v>0</v>
      </c>
      <c r="AF555" s="13">
        <v>0</v>
      </c>
      <c r="AG555" s="13">
        <v>0</v>
      </c>
      <c r="AH555" s="13">
        <v>0</v>
      </c>
      <c r="AI555" s="12">
        <f>AK555+AL555+AM555</f>
        <v>0</v>
      </c>
      <c r="AJ555" s="13">
        <v>0</v>
      </c>
      <c r="AK555" s="13">
        <v>0</v>
      </c>
      <c r="AL555" s="13">
        <v>0</v>
      </c>
      <c r="AM555" s="13">
        <v>0</v>
      </c>
    </row>
    <row r="556" spans="1:39" ht="31.5" x14ac:dyDescent="0.25">
      <c r="A556" s="16" t="s">
        <v>917</v>
      </c>
      <c r="B556" s="6" t="s">
        <v>910</v>
      </c>
      <c r="C556" s="26" t="s">
        <v>32</v>
      </c>
      <c r="D556" s="26" t="s">
        <v>118</v>
      </c>
      <c r="E556" s="20">
        <f>SUM(F556:I556)</f>
        <v>9508.7999999999993</v>
      </c>
      <c r="F556" s="38">
        <f t="shared" si="861"/>
        <v>0</v>
      </c>
      <c r="G556" s="38">
        <f t="shared" si="861"/>
        <v>9223.5</v>
      </c>
      <c r="H556" s="38">
        <f t="shared" si="861"/>
        <v>285.3</v>
      </c>
      <c r="I556" s="38">
        <f t="shared" si="861"/>
        <v>0</v>
      </c>
      <c r="J556" s="12">
        <f>L556+M556+N556</f>
        <v>0</v>
      </c>
      <c r="K556" s="13">
        <v>0</v>
      </c>
      <c r="L556" s="13">
        <v>0</v>
      </c>
      <c r="M556" s="13">
        <v>0</v>
      </c>
      <c r="N556" s="13">
        <v>0</v>
      </c>
      <c r="O556" s="95">
        <f>R556</f>
        <v>0</v>
      </c>
      <c r="P556" s="13">
        <v>0</v>
      </c>
      <c r="Q556" s="13">
        <v>0</v>
      </c>
      <c r="R556" s="13">
        <v>0</v>
      </c>
      <c r="S556" s="13">
        <v>0</v>
      </c>
      <c r="T556" s="12">
        <f>V556+W556+X556</f>
        <v>9508.7999999999993</v>
      </c>
      <c r="U556" s="59">
        <v>0</v>
      </c>
      <c r="V556" s="123">
        <v>9223.5</v>
      </c>
      <c r="W556" s="7">
        <v>285.3</v>
      </c>
      <c r="X556" s="13">
        <v>0</v>
      </c>
      <c r="Y556" s="12">
        <f>AA556+AB556+AC556</f>
        <v>0</v>
      </c>
      <c r="Z556" s="13">
        <v>0</v>
      </c>
      <c r="AA556" s="13">
        <v>0</v>
      </c>
      <c r="AB556" s="13">
        <v>0</v>
      </c>
      <c r="AC556" s="13">
        <v>0</v>
      </c>
      <c r="AD556" s="12">
        <f>AF556+AG556+AH556</f>
        <v>0</v>
      </c>
      <c r="AE556" s="13">
        <v>0</v>
      </c>
      <c r="AF556" s="13">
        <v>0</v>
      </c>
      <c r="AG556" s="13">
        <v>0</v>
      </c>
      <c r="AH556" s="13">
        <v>0</v>
      </c>
      <c r="AI556" s="12">
        <f>AK556+AL556+AM556</f>
        <v>0</v>
      </c>
      <c r="AJ556" s="13">
        <v>0</v>
      </c>
      <c r="AK556" s="13">
        <v>0</v>
      </c>
      <c r="AL556" s="13">
        <v>0</v>
      </c>
      <c r="AM556" s="13">
        <v>0</v>
      </c>
    </row>
  </sheetData>
  <autoFilter ref="A4:X541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96">
    <mergeCell ref="B549:D549"/>
    <mergeCell ref="B553:D553"/>
    <mergeCell ref="D1:L1"/>
    <mergeCell ref="A4:A7"/>
    <mergeCell ref="B438:D438"/>
    <mergeCell ref="B409:D409"/>
    <mergeCell ref="A2:AM2"/>
    <mergeCell ref="AH1:AM1"/>
    <mergeCell ref="AI5:AM5"/>
    <mergeCell ref="AI6:AI7"/>
    <mergeCell ref="AJ6:AM6"/>
    <mergeCell ref="J4:AM4"/>
    <mergeCell ref="Y5:AC5"/>
    <mergeCell ref="Y6:Y7"/>
    <mergeCell ref="Z6:AC6"/>
    <mergeCell ref="AD5:AH5"/>
    <mergeCell ref="AD6:AD7"/>
    <mergeCell ref="AE6:AH6"/>
    <mergeCell ref="T5:X5"/>
    <mergeCell ref="O5:S5"/>
    <mergeCell ref="P6:S6"/>
    <mergeCell ref="U6:X6"/>
    <mergeCell ref="B4:B7"/>
    <mergeCell ref="C4:C7"/>
    <mergeCell ref="O6:O7"/>
    <mergeCell ref="J5:N5"/>
    <mergeCell ref="T6:T7"/>
    <mergeCell ref="D4:D7"/>
    <mergeCell ref="J6:J7"/>
    <mergeCell ref="E4:I5"/>
    <mergeCell ref="F6:I6"/>
    <mergeCell ref="K6:N6"/>
    <mergeCell ref="E6:E7"/>
    <mergeCell ref="B205:D205"/>
    <mergeCell ref="C361:C362"/>
    <mergeCell ref="D361:D362"/>
    <mergeCell ref="B208:D208"/>
    <mergeCell ref="B131:D131"/>
    <mergeCell ref="B200:D200"/>
    <mergeCell ref="B210:D210"/>
    <mergeCell ref="B221:D221"/>
    <mergeCell ref="B280:D280"/>
    <mergeCell ref="B248:D248"/>
    <mergeCell ref="B186:D186"/>
    <mergeCell ref="B90:D90"/>
    <mergeCell ref="B100:D100"/>
    <mergeCell ref="B93:D93"/>
    <mergeCell ref="B11:D11"/>
    <mergeCell ref="B9:D9"/>
    <mergeCell ref="B10:D10"/>
    <mergeCell ref="B24:D24"/>
    <mergeCell ref="B78:D78"/>
    <mergeCell ref="B109:D109"/>
    <mergeCell ref="B147:D147"/>
    <mergeCell ref="B533:D533"/>
    <mergeCell ref="B244:D244"/>
    <mergeCell ref="B316:D316"/>
    <mergeCell ref="B342:D342"/>
    <mergeCell ref="B433:D433"/>
    <mergeCell ref="B421:D421"/>
    <mergeCell ref="B251:D251"/>
    <mergeCell ref="B328:D328"/>
    <mergeCell ref="B329:D329"/>
    <mergeCell ref="B339:D339"/>
    <mergeCell ref="B252:D252"/>
    <mergeCell ref="B514:D514"/>
    <mergeCell ref="B492:D492"/>
    <mergeCell ref="B156:D156"/>
    <mergeCell ref="B538:D538"/>
    <mergeCell ref="B364:D364"/>
    <mergeCell ref="B489:D489"/>
    <mergeCell ref="B464:D464"/>
    <mergeCell ref="B427:D427"/>
    <mergeCell ref="B384:D384"/>
    <mergeCell ref="B424:D424"/>
    <mergeCell ref="B462:D462"/>
    <mergeCell ref="B496:D496"/>
    <mergeCell ref="B497:D497"/>
    <mergeCell ref="B501:D501"/>
    <mergeCell ref="B505:D505"/>
    <mergeCell ref="B547:D547"/>
    <mergeCell ref="B112:D112"/>
    <mergeCell ref="B545:D545"/>
    <mergeCell ref="B113:D113"/>
    <mergeCell ref="B127:D127"/>
    <mergeCell ref="B542:D542"/>
    <mergeCell ref="B211:D211"/>
    <mergeCell ref="B173:D173"/>
    <mergeCell ref="B189:D189"/>
    <mergeCell ref="B148:D148"/>
    <mergeCell ref="B340:D340"/>
    <mergeCell ref="B403:D403"/>
    <mergeCell ref="B353:D353"/>
    <mergeCell ref="B363:D363"/>
    <mergeCell ref="B494:D494"/>
    <mergeCell ref="B513:D513"/>
  </mergeCells>
  <printOptions horizontalCentered="1"/>
  <pageMargins left="0" right="0" top="0.19685039370078741" bottom="0.19685039370078741" header="0.31496062992125984" footer="0.31496062992125984"/>
  <pageSetup paperSize="9" scale="25" fitToHeight="13" orientation="landscape" r:id="rId1"/>
  <headerFooter>
    <oddFooter>Страница  &amp;P из &amp;N</oddFooter>
  </headerFooter>
  <rowBreaks count="3" manualBreakCount="3">
    <brk id="92" max="38" man="1"/>
    <brk id="376" max="38" man="1"/>
    <brk id="426" max="38" man="1"/>
  </rowBreaks>
  <colBreaks count="2" manualBreakCount="2">
    <brk id="24" max="488" man="1"/>
    <brk id="29" max="47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B1:Q48"/>
  <sheetViews>
    <sheetView tabSelected="1" zoomScaleNormal="100" zoomScaleSheetLayoutView="80" workbookViewId="0">
      <selection activeCell="P19" sqref="P19"/>
    </sheetView>
  </sheetViews>
  <sheetFormatPr defaultColWidth="9.140625" defaultRowHeight="15.75" x14ac:dyDescent="0.25"/>
  <cols>
    <col min="1" max="1" width="4.5703125" style="65" customWidth="1"/>
    <col min="2" max="2" width="28.42578125" style="65" customWidth="1"/>
    <col min="3" max="3" width="19.85546875" style="66" customWidth="1" collapsed="1"/>
    <col min="4" max="4" width="15.7109375" style="66" customWidth="1"/>
    <col min="5" max="5" width="13.42578125" style="65" customWidth="1"/>
    <col min="6" max="6" width="13.5703125" style="65" customWidth="1"/>
    <col min="7" max="7" width="12.5703125" style="67" customWidth="1"/>
    <col min="8" max="8" width="16.85546875" style="68" hidden="1" customWidth="1"/>
    <col min="9" max="9" width="16.85546875" style="65" hidden="1" customWidth="1"/>
    <col min="10" max="10" width="13.42578125" style="65" customWidth="1" collapsed="1"/>
    <col min="11" max="11" width="15.7109375" style="65" hidden="1" customWidth="1"/>
    <col min="12" max="12" width="15.7109375" style="68" hidden="1" customWidth="1"/>
    <col min="13" max="13" width="13.42578125" style="66" customWidth="1" collapsed="1"/>
    <col min="14" max="14" width="16.85546875" style="65" hidden="1" customWidth="1" collapsed="1"/>
    <col min="15" max="15" width="16.85546875" style="65" hidden="1" customWidth="1"/>
    <col min="16" max="16" width="12.7109375" style="65" customWidth="1" collapsed="1"/>
    <col min="17" max="17" width="10.28515625" style="65" bestFit="1" customWidth="1" collapsed="1"/>
    <col min="18" max="18" width="6.85546875" style="65" bestFit="1" customWidth="1"/>
    <col min="19" max="19" width="10.28515625" style="65" bestFit="1" customWidth="1"/>
    <col min="20" max="21" width="6.85546875" style="65" bestFit="1" customWidth="1"/>
    <col min="22" max="22" width="10.28515625" style="65" bestFit="1" customWidth="1"/>
    <col min="23" max="23" width="3.85546875" style="65" bestFit="1" customWidth="1"/>
    <col min="24" max="25" width="9.28515625" style="65" customWidth="1"/>
    <col min="26" max="16384" width="9.140625" style="65"/>
  </cols>
  <sheetData>
    <row r="1" spans="2:16" s="63" customFormat="1" ht="77.25" customHeight="1" x14ac:dyDescent="0.25">
      <c r="B1" s="61"/>
      <c r="C1" s="62"/>
      <c r="D1" s="62"/>
      <c r="G1" s="62"/>
      <c r="J1" s="234" t="s">
        <v>710</v>
      </c>
      <c r="K1" s="234"/>
      <c r="L1" s="234"/>
      <c r="M1" s="234"/>
      <c r="N1" s="234"/>
      <c r="O1" s="234"/>
      <c r="P1" s="234"/>
    </row>
    <row r="2" spans="2:16" s="63" customFormat="1" ht="17.25" customHeight="1" x14ac:dyDescent="0.25">
      <c r="B2" s="61"/>
      <c r="C2" s="62"/>
      <c r="D2" s="62"/>
      <c r="G2" s="62"/>
      <c r="J2" s="64"/>
      <c r="K2" s="64"/>
      <c r="L2" s="64"/>
      <c r="M2" s="64"/>
      <c r="N2" s="64"/>
      <c r="O2" s="64"/>
      <c r="P2" s="64"/>
    </row>
    <row r="3" spans="2:16" ht="34.5" customHeight="1" x14ac:dyDescent="0.25">
      <c r="B3" s="235" t="s">
        <v>701</v>
      </c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</row>
    <row r="4" spans="2:16" x14ac:dyDescent="0.25">
      <c r="M4" s="69"/>
    </row>
    <row r="5" spans="2:16" ht="15" customHeight="1" x14ac:dyDescent="0.25">
      <c r="B5" s="236" t="s">
        <v>872</v>
      </c>
      <c r="C5" s="239" t="s">
        <v>696</v>
      </c>
      <c r="D5" s="242" t="s">
        <v>697</v>
      </c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</row>
    <row r="6" spans="2:16" ht="18.75" customHeight="1" x14ac:dyDescent="0.25">
      <c r="B6" s="237"/>
      <c r="C6" s="240"/>
      <c r="D6" s="239" t="s">
        <v>1</v>
      </c>
      <c r="E6" s="242" t="s">
        <v>698</v>
      </c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</row>
    <row r="7" spans="2:16" ht="36.75" customHeight="1" x14ac:dyDescent="0.25">
      <c r="B7" s="238"/>
      <c r="C7" s="241"/>
      <c r="D7" s="241"/>
      <c r="E7" s="70">
        <v>2017</v>
      </c>
      <c r="F7" s="70">
        <v>2018</v>
      </c>
      <c r="G7" s="70">
        <v>2019</v>
      </c>
      <c r="H7" s="70"/>
      <c r="I7" s="70"/>
      <c r="J7" s="70">
        <v>2020</v>
      </c>
      <c r="K7" s="70"/>
      <c r="L7" s="70"/>
      <c r="M7" s="70">
        <v>2021</v>
      </c>
      <c r="N7" s="70"/>
      <c r="O7" s="70"/>
      <c r="P7" s="70">
        <v>2022</v>
      </c>
    </row>
    <row r="8" spans="2:16" s="72" customFormat="1" x14ac:dyDescent="0.25">
      <c r="B8" s="71">
        <v>1</v>
      </c>
      <c r="C8" s="71">
        <v>2</v>
      </c>
      <c r="D8" s="71">
        <v>3</v>
      </c>
      <c r="E8" s="71">
        <v>4</v>
      </c>
      <c r="F8" s="71">
        <v>5</v>
      </c>
      <c r="G8" s="71">
        <v>6</v>
      </c>
      <c r="H8" s="71"/>
      <c r="I8" s="71"/>
      <c r="J8" s="71">
        <v>7</v>
      </c>
      <c r="K8" s="71"/>
      <c r="L8" s="71"/>
      <c r="M8" s="71">
        <v>8</v>
      </c>
      <c r="N8" s="71"/>
      <c r="O8" s="71"/>
      <c r="P8" s="71">
        <v>9</v>
      </c>
    </row>
    <row r="9" spans="2:16" s="66" customFormat="1" ht="21.75" customHeight="1" x14ac:dyDescent="0.25">
      <c r="B9" s="246" t="s">
        <v>476</v>
      </c>
      <c r="C9" s="73" t="s">
        <v>699</v>
      </c>
      <c r="D9" s="74">
        <f>SUM(D10:D13)</f>
        <v>2924389.8039862514</v>
      </c>
      <c r="E9" s="74">
        <f>SUM(E10:E13)</f>
        <v>652310.30000000016</v>
      </c>
      <c r="F9" s="74">
        <f t="shared" ref="F9:P9" si="0">SUM(F10:F13)</f>
        <v>518415.30398625153</v>
      </c>
      <c r="G9" s="74">
        <f t="shared" si="0"/>
        <v>650332.39999999991</v>
      </c>
      <c r="H9" s="74">
        <f t="shared" si="0"/>
        <v>0</v>
      </c>
      <c r="I9" s="74">
        <f t="shared" si="0"/>
        <v>0</v>
      </c>
      <c r="J9" s="74">
        <f t="shared" si="0"/>
        <v>368860.9</v>
      </c>
      <c r="K9" s="74">
        <f t="shared" si="0"/>
        <v>0</v>
      </c>
      <c r="L9" s="74">
        <f t="shared" si="0"/>
        <v>0</v>
      </c>
      <c r="M9" s="74">
        <f t="shared" si="0"/>
        <v>377675</v>
      </c>
      <c r="N9" s="74">
        <f t="shared" si="0"/>
        <v>0</v>
      </c>
      <c r="O9" s="74">
        <f t="shared" si="0"/>
        <v>0</v>
      </c>
      <c r="P9" s="74">
        <f t="shared" si="0"/>
        <v>356795.89999999997</v>
      </c>
    </row>
    <row r="10" spans="2:16" ht="35.25" customHeight="1" x14ac:dyDescent="0.25">
      <c r="B10" s="247"/>
      <c r="C10" s="75" t="s">
        <v>33</v>
      </c>
      <c r="D10" s="76">
        <f>SUM(E10:P10)</f>
        <v>0</v>
      </c>
      <c r="E10" s="76">
        <f>E15+E20+E25+E30+E35+E40</f>
        <v>0</v>
      </c>
      <c r="F10" s="76">
        <f t="shared" ref="F10:P11" si="1">F15+F20+F25+F30+F35+F40</f>
        <v>0</v>
      </c>
      <c r="G10" s="76">
        <f t="shared" si="1"/>
        <v>0</v>
      </c>
      <c r="H10" s="76">
        <f t="shared" si="1"/>
        <v>0</v>
      </c>
      <c r="I10" s="76">
        <f t="shared" si="1"/>
        <v>0</v>
      </c>
      <c r="J10" s="76">
        <f t="shared" si="1"/>
        <v>0</v>
      </c>
      <c r="K10" s="76">
        <f t="shared" si="1"/>
        <v>0</v>
      </c>
      <c r="L10" s="76">
        <f t="shared" si="1"/>
        <v>0</v>
      </c>
      <c r="M10" s="76">
        <f t="shared" si="1"/>
        <v>0</v>
      </c>
      <c r="N10" s="76">
        <f t="shared" si="1"/>
        <v>0</v>
      </c>
      <c r="O10" s="76">
        <f t="shared" si="1"/>
        <v>0</v>
      </c>
      <c r="P10" s="76">
        <f t="shared" si="1"/>
        <v>0</v>
      </c>
    </row>
    <row r="11" spans="2:16" ht="35.25" customHeight="1" x14ac:dyDescent="0.25">
      <c r="B11" s="247"/>
      <c r="C11" s="77" t="s">
        <v>34</v>
      </c>
      <c r="D11" s="76">
        <f>SUM(E11:P11)</f>
        <v>263105.2</v>
      </c>
      <c r="E11" s="76">
        <f>E16+E21+E26+E31+E36+E41</f>
        <v>138959.70000000001</v>
      </c>
      <c r="F11" s="76">
        <f t="shared" si="1"/>
        <v>10000</v>
      </c>
      <c r="G11" s="76">
        <f t="shared" si="1"/>
        <v>92290.299999999988</v>
      </c>
      <c r="H11" s="76">
        <f t="shared" si="1"/>
        <v>0</v>
      </c>
      <c r="I11" s="76">
        <f t="shared" si="1"/>
        <v>0</v>
      </c>
      <c r="J11" s="76">
        <f t="shared" si="1"/>
        <v>21855.200000000001</v>
      </c>
      <c r="K11" s="76">
        <f t="shared" si="1"/>
        <v>0</v>
      </c>
      <c r="L11" s="76">
        <f t="shared" si="1"/>
        <v>0</v>
      </c>
      <c r="M11" s="76">
        <f t="shared" si="1"/>
        <v>0</v>
      </c>
      <c r="N11" s="76">
        <f t="shared" si="1"/>
        <v>0</v>
      </c>
      <c r="O11" s="76">
        <f t="shared" si="1"/>
        <v>0</v>
      </c>
      <c r="P11" s="76">
        <f t="shared" si="1"/>
        <v>0</v>
      </c>
    </row>
    <row r="12" spans="2:16" ht="30" customHeight="1" x14ac:dyDescent="0.25">
      <c r="B12" s="247"/>
      <c r="C12" s="77" t="s">
        <v>29</v>
      </c>
      <c r="D12" s="76">
        <f>SUM(E12:P12)</f>
        <v>2658579.8039862514</v>
      </c>
      <c r="E12" s="76">
        <f t="shared" ref="E12:P13" si="2">E17+E22+E27+E32+E37+E42</f>
        <v>512837.20000000007</v>
      </c>
      <c r="F12" s="76">
        <f t="shared" si="2"/>
        <v>508309.40398625151</v>
      </c>
      <c r="G12" s="76">
        <f t="shared" si="2"/>
        <v>556994.79999999993</v>
      </c>
      <c r="H12" s="76">
        <f t="shared" si="2"/>
        <v>0</v>
      </c>
      <c r="I12" s="76">
        <f t="shared" si="2"/>
        <v>0</v>
      </c>
      <c r="J12" s="76">
        <f t="shared" si="2"/>
        <v>346367.5</v>
      </c>
      <c r="K12" s="76">
        <f t="shared" si="2"/>
        <v>0</v>
      </c>
      <c r="L12" s="76">
        <f t="shared" si="2"/>
        <v>0</v>
      </c>
      <c r="M12" s="76">
        <f t="shared" si="2"/>
        <v>377352</v>
      </c>
      <c r="N12" s="76">
        <f t="shared" si="2"/>
        <v>0</v>
      </c>
      <c r="O12" s="76">
        <f t="shared" si="2"/>
        <v>0</v>
      </c>
      <c r="P12" s="76">
        <f t="shared" si="2"/>
        <v>356718.89999999997</v>
      </c>
    </row>
    <row r="13" spans="2:16" ht="33" customHeight="1" x14ac:dyDescent="0.25">
      <c r="B13" s="248"/>
      <c r="C13" s="77" t="s">
        <v>700</v>
      </c>
      <c r="D13" s="76">
        <f>SUM(E13:P13)</f>
        <v>2704.8</v>
      </c>
      <c r="E13" s="76">
        <f t="shared" si="2"/>
        <v>513.40000000000009</v>
      </c>
      <c r="F13" s="76">
        <f t="shared" si="2"/>
        <v>105.9</v>
      </c>
      <c r="G13" s="76">
        <f t="shared" si="2"/>
        <v>1047.3</v>
      </c>
      <c r="H13" s="76">
        <f t="shared" si="2"/>
        <v>0</v>
      </c>
      <c r="I13" s="76">
        <f t="shared" si="2"/>
        <v>0</v>
      </c>
      <c r="J13" s="76">
        <f t="shared" si="2"/>
        <v>638.20000000000005</v>
      </c>
      <c r="K13" s="76">
        <f t="shared" si="2"/>
        <v>0</v>
      </c>
      <c r="L13" s="76">
        <f t="shared" si="2"/>
        <v>0</v>
      </c>
      <c r="M13" s="76">
        <f t="shared" si="2"/>
        <v>323</v>
      </c>
      <c r="N13" s="76">
        <f t="shared" si="2"/>
        <v>0</v>
      </c>
      <c r="O13" s="76">
        <f t="shared" si="2"/>
        <v>0</v>
      </c>
      <c r="P13" s="76">
        <f t="shared" si="2"/>
        <v>77</v>
      </c>
    </row>
    <row r="14" spans="2:16" ht="16.5" customHeight="1" x14ac:dyDescent="0.25">
      <c r="B14" s="243" t="s">
        <v>7</v>
      </c>
      <c r="C14" s="73" t="s">
        <v>699</v>
      </c>
      <c r="D14" s="74">
        <f>SUM(D15:D18)</f>
        <v>152932.69999999998</v>
      </c>
      <c r="E14" s="74">
        <f>SUM(E15:E18)</f>
        <v>57541.299999999996</v>
      </c>
      <c r="F14" s="74">
        <f t="shared" ref="F14:P14" si="3">SUM(F15:F18)</f>
        <v>53462.3</v>
      </c>
      <c r="G14" s="74">
        <f t="shared" si="3"/>
        <v>41929.1</v>
      </c>
      <c r="H14" s="74">
        <f t="shared" si="3"/>
        <v>0</v>
      </c>
      <c r="I14" s="74">
        <f t="shared" si="3"/>
        <v>0</v>
      </c>
      <c r="J14" s="74">
        <f t="shared" si="3"/>
        <v>0</v>
      </c>
      <c r="K14" s="74">
        <f t="shared" si="3"/>
        <v>0</v>
      </c>
      <c r="L14" s="74">
        <f t="shared" si="3"/>
        <v>0</v>
      </c>
      <c r="M14" s="74">
        <f t="shared" si="3"/>
        <v>0</v>
      </c>
      <c r="N14" s="74">
        <f t="shared" si="3"/>
        <v>0</v>
      </c>
      <c r="O14" s="74">
        <f t="shared" si="3"/>
        <v>0</v>
      </c>
      <c r="P14" s="74">
        <f t="shared" si="3"/>
        <v>0</v>
      </c>
    </row>
    <row r="15" spans="2:16" ht="35.25" customHeight="1" x14ac:dyDescent="0.25">
      <c r="B15" s="244"/>
      <c r="C15" s="75" t="s">
        <v>33</v>
      </c>
      <c r="D15" s="76">
        <f>SUM(E15:P15)</f>
        <v>0</v>
      </c>
      <c r="E15" s="76">
        <f>'Приложение 2-ТЭО'!K10</f>
        <v>0</v>
      </c>
      <c r="F15" s="76">
        <f>'Приложение 2-ТЭО'!P10</f>
        <v>0</v>
      </c>
      <c r="G15" s="76">
        <f>'Приложение 2-ТЭО'!U10</f>
        <v>0</v>
      </c>
      <c r="H15" s="76"/>
      <c r="I15" s="76"/>
      <c r="J15" s="76">
        <f>'Приложение 2-ТЭО'!Z10</f>
        <v>0</v>
      </c>
      <c r="K15" s="76"/>
      <c r="L15" s="76"/>
      <c r="M15" s="76">
        <f>'Приложение 2-ТЭО'!AE10</f>
        <v>0</v>
      </c>
      <c r="N15" s="76"/>
      <c r="O15" s="76"/>
      <c r="P15" s="76">
        <f>'Приложение 2-ТЭО'!AJ10</f>
        <v>0</v>
      </c>
    </row>
    <row r="16" spans="2:16" ht="35.25" customHeight="1" x14ac:dyDescent="0.25">
      <c r="B16" s="244"/>
      <c r="C16" s="77" t="s">
        <v>34</v>
      </c>
      <c r="D16" s="76">
        <f>SUM(E16:P16)</f>
        <v>6170.3</v>
      </c>
      <c r="E16" s="76">
        <f>'Приложение 2-ТЭО'!L10</f>
        <v>6170.3</v>
      </c>
      <c r="F16" s="76">
        <f>'Приложение 2-ТЭО'!Q10</f>
        <v>0</v>
      </c>
      <c r="G16" s="76">
        <f>'Приложение 2-ТЭО'!V10</f>
        <v>0</v>
      </c>
      <c r="H16" s="76"/>
      <c r="I16" s="76"/>
      <c r="J16" s="76">
        <f>'Приложение 2-ТЭО'!AA10</f>
        <v>0</v>
      </c>
      <c r="K16" s="76"/>
      <c r="L16" s="76"/>
      <c r="M16" s="76">
        <f>'Приложение 2-ТЭО'!AF10</f>
        <v>0</v>
      </c>
      <c r="N16" s="76"/>
      <c r="O16" s="76"/>
      <c r="P16" s="76">
        <f>'Приложение 2-ТЭО'!AK10</f>
        <v>0</v>
      </c>
    </row>
    <row r="17" spans="2:16" ht="30" customHeight="1" x14ac:dyDescent="0.25">
      <c r="B17" s="244"/>
      <c r="C17" s="77" t="s">
        <v>29</v>
      </c>
      <c r="D17" s="76">
        <f>SUM(E17:P17)</f>
        <v>146762.4</v>
      </c>
      <c r="E17" s="76">
        <f>'Приложение 2-ТЭО'!M10</f>
        <v>51370.999999999993</v>
      </c>
      <c r="F17" s="76">
        <f>'Приложение 2-ТЭО'!R10</f>
        <v>53462.3</v>
      </c>
      <c r="G17" s="76">
        <f>'Приложение 2-ТЭО'!W10</f>
        <v>41929.1</v>
      </c>
      <c r="H17" s="76"/>
      <c r="I17" s="76"/>
      <c r="J17" s="76">
        <f>'Приложение 2-ТЭО'!AB10</f>
        <v>0</v>
      </c>
      <c r="K17" s="76"/>
      <c r="L17" s="76"/>
      <c r="M17" s="76">
        <f>'Приложение 2-ТЭО'!AG10</f>
        <v>0</v>
      </c>
      <c r="N17" s="76"/>
      <c r="O17" s="76"/>
      <c r="P17" s="76">
        <f>'Приложение 2-ТЭО'!AL10</f>
        <v>0</v>
      </c>
    </row>
    <row r="18" spans="2:16" ht="33" customHeight="1" x14ac:dyDescent="0.25">
      <c r="B18" s="245"/>
      <c r="C18" s="77" t="s">
        <v>700</v>
      </c>
      <c r="D18" s="76">
        <f>SUM(E18:P18)</f>
        <v>0</v>
      </c>
      <c r="E18" s="76">
        <f>'Приложение 2-ТЭО'!N10</f>
        <v>0</v>
      </c>
      <c r="F18" s="76">
        <f>'Приложение 2-ТЭО'!S10</f>
        <v>0</v>
      </c>
      <c r="G18" s="76">
        <f>'Приложение 2-ТЭО'!X10</f>
        <v>0</v>
      </c>
      <c r="H18" s="76"/>
      <c r="I18" s="76"/>
      <c r="J18" s="76">
        <f>'Приложение 2-ТЭО'!AC10</f>
        <v>0</v>
      </c>
      <c r="K18" s="76"/>
      <c r="L18" s="76"/>
      <c r="M18" s="76">
        <f>'Приложение 2-ТЭО'!AH10</f>
        <v>0</v>
      </c>
      <c r="N18" s="76"/>
      <c r="O18" s="76"/>
      <c r="P18" s="76">
        <f>'Приложение 2-ТЭО'!AM10</f>
        <v>0</v>
      </c>
    </row>
    <row r="19" spans="2:16" ht="19.5" customHeight="1" x14ac:dyDescent="0.25">
      <c r="B19" s="243" t="s">
        <v>411</v>
      </c>
      <c r="C19" s="74" t="s">
        <v>699</v>
      </c>
      <c r="D19" s="74">
        <f>SUM(D20:D23)</f>
        <v>313243.60398625158</v>
      </c>
      <c r="E19" s="74">
        <f>SUM(E20:E23)</f>
        <v>51234.900000000009</v>
      </c>
      <c r="F19" s="74">
        <f t="shared" ref="F19:P19" si="4">SUM(F20:F23)</f>
        <v>29151.103986251528</v>
      </c>
      <c r="G19" s="74">
        <f t="shared" si="4"/>
        <v>126315</v>
      </c>
      <c r="H19" s="74">
        <f t="shared" si="4"/>
        <v>0</v>
      </c>
      <c r="I19" s="74">
        <f t="shared" si="4"/>
        <v>0</v>
      </c>
      <c r="J19" s="74">
        <f t="shared" si="4"/>
        <v>39626.699999999997</v>
      </c>
      <c r="K19" s="74">
        <f t="shared" si="4"/>
        <v>0</v>
      </c>
      <c r="L19" s="74">
        <f t="shared" si="4"/>
        <v>0</v>
      </c>
      <c r="M19" s="74">
        <f t="shared" si="4"/>
        <v>40880.600000000006</v>
      </c>
      <c r="N19" s="74">
        <f t="shared" si="4"/>
        <v>0</v>
      </c>
      <c r="O19" s="74">
        <f t="shared" si="4"/>
        <v>0</v>
      </c>
      <c r="P19" s="74">
        <f t="shared" si="4"/>
        <v>26035.300000000003</v>
      </c>
    </row>
    <row r="20" spans="2:16" ht="35.25" customHeight="1" x14ac:dyDescent="0.25">
      <c r="B20" s="244"/>
      <c r="C20" s="75" t="s">
        <v>33</v>
      </c>
      <c r="D20" s="76">
        <f>SUM(E20:P20)</f>
        <v>0</v>
      </c>
      <c r="E20" s="76">
        <f>'Приложение 2-ТЭО'!K112</f>
        <v>0</v>
      </c>
      <c r="F20" s="76">
        <f>'Приложение 2-ТЭО'!P112</f>
        <v>0</v>
      </c>
      <c r="G20" s="76">
        <f>'Приложение 2-ТЭО'!U112</f>
        <v>0</v>
      </c>
      <c r="H20" s="76"/>
      <c r="I20" s="76"/>
      <c r="J20" s="76">
        <f>'Приложение 2-ТЭО'!Z112</f>
        <v>0</v>
      </c>
      <c r="K20" s="76"/>
      <c r="L20" s="76"/>
      <c r="M20" s="76">
        <f>'Приложение 2-ТЭО'!AE112</f>
        <v>0</v>
      </c>
      <c r="N20" s="76"/>
      <c r="O20" s="76"/>
      <c r="P20" s="76">
        <f>'Приложение 2-ТЭО'!AJ112</f>
        <v>0</v>
      </c>
    </row>
    <row r="21" spans="2:16" ht="35.25" customHeight="1" x14ac:dyDescent="0.25">
      <c r="B21" s="244"/>
      <c r="C21" s="77" t="s">
        <v>34</v>
      </c>
      <c r="D21" s="76">
        <f>SUM(E21:P21)</f>
        <v>68785.3</v>
      </c>
      <c r="E21" s="76">
        <f>'Приложение 2-ТЭО'!L112</f>
        <v>6177.8</v>
      </c>
      <c r="F21" s="76">
        <f>'Приложение 2-ТЭО'!Q112</f>
        <v>0</v>
      </c>
      <c r="G21" s="76">
        <f>'Приложение 2-ТЭО'!V112</f>
        <v>62607.5</v>
      </c>
      <c r="H21" s="76"/>
      <c r="I21" s="76"/>
      <c r="J21" s="76">
        <f>'Приложение 2-ТЭО'!AA112</f>
        <v>0</v>
      </c>
      <c r="K21" s="76"/>
      <c r="L21" s="76"/>
      <c r="M21" s="76">
        <f>'Приложение 2-ТЭО'!AF112</f>
        <v>0</v>
      </c>
      <c r="N21" s="76"/>
      <c r="O21" s="76"/>
      <c r="P21" s="76">
        <f>'Приложение 2-ТЭО'!AK112</f>
        <v>0</v>
      </c>
    </row>
    <row r="22" spans="2:16" ht="30" customHeight="1" x14ac:dyDescent="0.25">
      <c r="B22" s="244"/>
      <c r="C22" s="77" t="s">
        <v>29</v>
      </c>
      <c r="D22" s="76">
        <f>SUM(E22:P22)</f>
        <v>244458.30398625159</v>
      </c>
      <c r="E22" s="76">
        <f>'Приложение 2-ТЭО'!M112</f>
        <v>45057.100000000006</v>
      </c>
      <c r="F22" s="76">
        <f>'Приложение 2-ТЭО'!R112</f>
        <v>29151.103986251528</v>
      </c>
      <c r="G22" s="76">
        <f>'Приложение 2-ТЭО'!W112</f>
        <v>63707.500000000007</v>
      </c>
      <c r="H22" s="76"/>
      <c r="I22" s="76"/>
      <c r="J22" s="76">
        <f>'Приложение 2-ТЭО'!AB112</f>
        <v>39626.699999999997</v>
      </c>
      <c r="K22" s="76"/>
      <c r="L22" s="76"/>
      <c r="M22" s="76">
        <f>'Приложение 2-ТЭО'!AG112</f>
        <v>40880.600000000006</v>
      </c>
      <c r="N22" s="76"/>
      <c r="O22" s="76"/>
      <c r="P22" s="76">
        <f>'Приложение 2-ТЭО'!AL112</f>
        <v>26035.300000000003</v>
      </c>
    </row>
    <row r="23" spans="2:16" ht="33" customHeight="1" x14ac:dyDescent="0.25">
      <c r="B23" s="245"/>
      <c r="C23" s="77" t="s">
        <v>700</v>
      </c>
      <c r="D23" s="76">
        <f>SUM(E23:P23)</f>
        <v>0</v>
      </c>
      <c r="E23" s="76">
        <f>'Приложение 2-ТЭО'!N112</f>
        <v>0</v>
      </c>
      <c r="F23" s="76">
        <f>'Приложение 2-ТЭО'!S112</f>
        <v>0</v>
      </c>
      <c r="G23" s="76">
        <f>'Приложение 2-ТЭО'!X112</f>
        <v>0</v>
      </c>
      <c r="H23" s="76"/>
      <c r="I23" s="76"/>
      <c r="J23" s="76">
        <f>'Приложение 2-ТЭО'!AC112</f>
        <v>0</v>
      </c>
      <c r="K23" s="76"/>
      <c r="L23" s="76"/>
      <c r="M23" s="76">
        <f>'Приложение 2-ТЭО'!AH112</f>
        <v>0</v>
      </c>
      <c r="N23" s="76"/>
      <c r="O23" s="76"/>
      <c r="P23" s="76">
        <f>'Приложение 2-ТЭО'!AM112</f>
        <v>0</v>
      </c>
    </row>
    <row r="24" spans="2:16" ht="15.75" customHeight="1" x14ac:dyDescent="0.25">
      <c r="B24" s="243" t="s">
        <v>3</v>
      </c>
      <c r="C24" s="73" t="s">
        <v>699</v>
      </c>
      <c r="D24" s="74">
        <f>SUM(D25:D28)</f>
        <v>249789.1</v>
      </c>
      <c r="E24" s="74">
        <f>SUM(E25:E28)</f>
        <v>44560.100000000006</v>
      </c>
      <c r="F24" s="74">
        <f t="shared" ref="F24:P24" si="5">SUM(F25:F28)</f>
        <v>8837</v>
      </c>
      <c r="G24" s="74">
        <f t="shared" si="5"/>
        <v>114205.1</v>
      </c>
      <c r="H24" s="74">
        <f t="shared" si="5"/>
        <v>0</v>
      </c>
      <c r="I24" s="74">
        <f t="shared" si="5"/>
        <v>0</v>
      </c>
      <c r="J24" s="74">
        <f t="shared" si="5"/>
        <v>17882.300000000003</v>
      </c>
      <c r="K24" s="74">
        <f t="shared" si="5"/>
        <v>0</v>
      </c>
      <c r="L24" s="74">
        <f t="shared" si="5"/>
        <v>0</v>
      </c>
      <c r="M24" s="74">
        <f t="shared" si="5"/>
        <v>56606</v>
      </c>
      <c r="N24" s="74">
        <f t="shared" si="5"/>
        <v>0</v>
      </c>
      <c r="O24" s="74">
        <f t="shared" si="5"/>
        <v>0</v>
      </c>
      <c r="P24" s="74">
        <f t="shared" si="5"/>
        <v>7698.6</v>
      </c>
    </row>
    <row r="25" spans="2:16" ht="35.25" customHeight="1" x14ac:dyDescent="0.25">
      <c r="B25" s="244"/>
      <c r="C25" s="75" t="s">
        <v>33</v>
      </c>
      <c r="D25" s="76">
        <f>SUM(E25:P25)</f>
        <v>0</v>
      </c>
      <c r="E25" s="76">
        <f>'Приложение 2-ТЭО'!K210</f>
        <v>0</v>
      </c>
      <c r="F25" s="76">
        <f>'Приложение 2-ТЭО'!P210</f>
        <v>0</v>
      </c>
      <c r="G25" s="76">
        <f>'Приложение 2-ТЭО'!U210</f>
        <v>0</v>
      </c>
      <c r="H25" s="76"/>
      <c r="I25" s="76"/>
      <c r="J25" s="76">
        <f>'Приложение 2-ТЭО'!Z210</f>
        <v>0</v>
      </c>
      <c r="K25" s="76"/>
      <c r="L25" s="76"/>
      <c r="M25" s="76">
        <f>'Приложение 2-ТЭО'!AE210</f>
        <v>0</v>
      </c>
      <c r="N25" s="76"/>
      <c r="O25" s="76"/>
      <c r="P25" s="76">
        <f>'Приложение 2-ТЭО'!AJ210</f>
        <v>0</v>
      </c>
    </row>
    <row r="26" spans="2:16" ht="35.25" customHeight="1" x14ac:dyDescent="0.25">
      <c r="B26" s="244"/>
      <c r="C26" s="77" t="s">
        <v>34</v>
      </c>
      <c r="D26" s="76">
        <f>SUM(E26:P26)</f>
        <v>0</v>
      </c>
      <c r="E26" s="76">
        <f>'Приложение 2-ТЭО'!L210</f>
        <v>0</v>
      </c>
      <c r="F26" s="76">
        <f>'Приложение 2-ТЭО'!Q210</f>
        <v>0</v>
      </c>
      <c r="G26" s="76">
        <f>'Приложение 2-ТЭО'!V210</f>
        <v>0</v>
      </c>
      <c r="H26" s="76"/>
      <c r="I26" s="76"/>
      <c r="J26" s="76">
        <f>'Приложение 2-ТЭО'!AA210</f>
        <v>0</v>
      </c>
      <c r="K26" s="76"/>
      <c r="L26" s="76"/>
      <c r="M26" s="76">
        <f>'Приложение 2-ТЭО'!AF210</f>
        <v>0</v>
      </c>
      <c r="N26" s="76"/>
      <c r="O26" s="76"/>
      <c r="P26" s="76">
        <f>'Приложение 2-ТЭО'!AK210</f>
        <v>0</v>
      </c>
    </row>
    <row r="27" spans="2:16" ht="30" customHeight="1" x14ac:dyDescent="0.25">
      <c r="B27" s="244"/>
      <c r="C27" s="77" t="s">
        <v>29</v>
      </c>
      <c r="D27" s="76">
        <f>SUM(E27:P27)</f>
        <v>248216.1</v>
      </c>
      <c r="E27" s="76">
        <f>'Приложение 2-ТЭО'!M210</f>
        <v>44479.8</v>
      </c>
      <c r="F27" s="76">
        <f>'Приложение 2-ТЭО'!R210</f>
        <v>8791.7000000000007</v>
      </c>
      <c r="G27" s="76">
        <f>'Приложение 2-ТЭО'!W210</f>
        <v>113313.1</v>
      </c>
      <c r="H27" s="76"/>
      <c r="I27" s="76"/>
      <c r="J27" s="76">
        <f>'Приложение 2-ТЭО'!AB210</f>
        <v>17726.900000000001</v>
      </c>
      <c r="K27" s="76"/>
      <c r="L27" s="76"/>
      <c r="M27" s="76">
        <f>'Приложение 2-ТЭО'!AG210</f>
        <v>56283</v>
      </c>
      <c r="N27" s="76"/>
      <c r="O27" s="76"/>
      <c r="P27" s="76">
        <f>'Приложение 2-ТЭО'!AL210</f>
        <v>7621.6</v>
      </c>
    </row>
    <row r="28" spans="2:16" ht="33" customHeight="1" x14ac:dyDescent="0.25">
      <c r="B28" s="245"/>
      <c r="C28" s="77" t="s">
        <v>700</v>
      </c>
      <c r="D28" s="76">
        <f>SUM(E28:P28)</f>
        <v>1573</v>
      </c>
      <c r="E28" s="76">
        <f>'Приложение 2-ТЭО'!N210</f>
        <v>80.3</v>
      </c>
      <c r="F28" s="76">
        <f>'Приложение 2-ТЭО'!S210</f>
        <v>45.3</v>
      </c>
      <c r="G28" s="76">
        <f>'Приложение 2-ТЭО'!X210</f>
        <v>892</v>
      </c>
      <c r="H28" s="76"/>
      <c r="I28" s="76"/>
      <c r="J28" s="76">
        <f>'Приложение 2-ТЭО'!AC210</f>
        <v>155.39999999999998</v>
      </c>
      <c r="K28" s="76"/>
      <c r="L28" s="76"/>
      <c r="M28" s="76">
        <f>'Приложение 2-ТЭО'!AH210</f>
        <v>323</v>
      </c>
      <c r="N28" s="76"/>
      <c r="O28" s="76"/>
      <c r="P28" s="76">
        <f>'Приложение 2-ТЭО'!AM210</f>
        <v>77</v>
      </c>
    </row>
    <row r="29" spans="2:16" ht="15.75" customHeight="1" x14ac:dyDescent="0.25">
      <c r="B29" s="243" t="s">
        <v>4</v>
      </c>
      <c r="C29" s="73" t="s">
        <v>699</v>
      </c>
      <c r="D29" s="74">
        <f>SUM(D30:D33)</f>
        <v>342072.20000000007</v>
      </c>
      <c r="E29" s="74">
        <f>SUM(E30:E33)</f>
        <v>117589.90000000002</v>
      </c>
      <c r="F29" s="74">
        <f t="shared" ref="F29:P29" si="6">SUM(F30:F33)</f>
        <v>124278.2</v>
      </c>
      <c r="G29" s="74">
        <f t="shared" si="6"/>
        <v>30490</v>
      </c>
      <c r="H29" s="74">
        <f t="shared" si="6"/>
        <v>0</v>
      </c>
      <c r="I29" s="74">
        <f t="shared" si="6"/>
        <v>0</v>
      </c>
      <c r="J29" s="74">
        <f t="shared" si="6"/>
        <v>52330.5</v>
      </c>
      <c r="K29" s="74">
        <f t="shared" si="6"/>
        <v>0</v>
      </c>
      <c r="L29" s="74">
        <f t="shared" si="6"/>
        <v>0</v>
      </c>
      <c r="M29" s="74">
        <f t="shared" si="6"/>
        <v>16474.7</v>
      </c>
      <c r="N29" s="74">
        <f t="shared" si="6"/>
        <v>0</v>
      </c>
      <c r="O29" s="74">
        <f t="shared" si="6"/>
        <v>0</v>
      </c>
      <c r="P29" s="74">
        <f t="shared" si="6"/>
        <v>908.90000000000009</v>
      </c>
    </row>
    <row r="30" spans="2:16" ht="35.25" customHeight="1" x14ac:dyDescent="0.25">
      <c r="B30" s="244"/>
      <c r="C30" s="75" t="s">
        <v>33</v>
      </c>
      <c r="D30" s="76">
        <f>SUM(E30:P30)</f>
        <v>0</v>
      </c>
      <c r="E30" s="76">
        <f>'Приложение 2-ТЭО'!K251</f>
        <v>0</v>
      </c>
      <c r="F30" s="76">
        <f>'Приложение 2-ТЭО'!P251</f>
        <v>0</v>
      </c>
      <c r="G30" s="76">
        <f>'Приложение 2-ТЭО'!U251</f>
        <v>0</v>
      </c>
      <c r="H30" s="76"/>
      <c r="I30" s="76"/>
      <c r="J30" s="76">
        <f>'Приложение 2-ТЭО'!Z251</f>
        <v>0</v>
      </c>
      <c r="K30" s="76"/>
      <c r="L30" s="76"/>
      <c r="M30" s="76">
        <f>'Приложение 2-ТЭО'!AE251</f>
        <v>0</v>
      </c>
      <c r="N30" s="76"/>
      <c r="O30" s="76"/>
      <c r="P30" s="76">
        <f>'Приложение 2-ТЭО'!AJ251</f>
        <v>0</v>
      </c>
    </row>
    <row r="31" spans="2:16" ht="35.25" customHeight="1" x14ac:dyDescent="0.25">
      <c r="B31" s="244"/>
      <c r="C31" s="77" t="s">
        <v>34</v>
      </c>
      <c r="D31" s="76">
        <f>SUM(E31:P31)</f>
        <v>54062.9</v>
      </c>
      <c r="E31" s="76">
        <f>'Приложение 2-ТЭО'!L251</f>
        <v>10000</v>
      </c>
      <c r="F31" s="76">
        <f>'Приложение 2-ТЭО'!Q251</f>
        <v>10000</v>
      </c>
      <c r="G31" s="76">
        <f>'Приложение 2-ТЭО'!V251</f>
        <v>12207.7</v>
      </c>
      <c r="H31" s="76"/>
      <c r="I31" s="76"/>
      <c r="J31" s="76">
        <f>'Приложение 2-ТЭО'!AA251</f>
        <v>21855.200000000001</v>
      </c>
      <c r="K31" s="76"/>
      <c r="L31" s="76"/>
      <c r="M31" s="76">
        <f>'Приложение 2-ТЭО'!AF251</f>
        <v>0</v>
      </c>
      <c r="N31" s="76"/>
      <c r="O31" s="76"/>
      <c r="P31" s="76">
        <f>'Приложение 2-ТЭО'!AK251</f>
        <v>0</v>
      </c>
    </row>
    <row r="32" spans="2:16" ht="30" customHeight="1" x14ac:dyDescent="0.25">
      <c r="B32" s="244"/>
      <c r="C32" s="77" t="s">
        <v>29</v>
      </c>
      <c r="D32" s="76">
        <f>SUM(E32:P32)</f>
        <v>286880.50000000006</v>
      </c>
      <c r="E32" s="76">
        <f>'Приложение 2-ТЭО'!M251</f>
        <v>107159.80000000002</v>
      </c>
      <c r="F32" s="76">
        <f>'Приложение 2-ТЭО'!R251</f>
        <v>114217.59999999999</v>
      </c>
      <c r="G32" s="76">
        <f>'Приложение 2-ТЭО'!W251</f>
        <v>18127</v>
      </c>
      <c r="H32" s="76"/>
      <c r="I32" s="76"/>
      <c r="J32" s="76">
        <f>'Приложение 2-ТЭО'!AB251</f>
        <v>29992.499999999996</v>
      </c>
      <c r="K32" s="76"/>
      <c r="L32" s="76"/>
      <c r="M32" s="76">
        <f>'Приложение 2-ТЭО'!AG251</f>
        <v>16474.7</v>
      </c>
      <c r="N32" s="76"/>
      <c r="O32" s="76"/>
      <c r="P32" s="76">
        <f>'Приложение 2-ТЭО'!AL251</f>
        <v>908.90000000000009</v>
      </c>
    </row>
    <row r="33" spans="2:16" ht="33" customHeight="1" x14ac:dyDescent="0.25">
      <c r="B33" s="245"/>
      <c r="C33" s="77" t="s">
        <v>700</v>
      </c>
      <c r="D33" s="76">
        <f>SUM(E33:P33)</f>
        <v>1128.8</v>
      </c>
      <c r="E33" s="76">
        <f>'Приложение 2-ТЭО'!N251</f>
        <v>430.1</v>
      </c>
      <c r="F33" s="76">
        <f>'Приложение 2-ТЭО'!S251</f>
        <v>60.6</v>
      </c>
      <c r="G33" s="76">
        <f>'Приложение 2-ТЭО'!X251</f>
        <v>155.30000000000001</v>
      </c>
      <c r="H33" s="76"/>
      <c r="I33" s="76"/>
      <c r="J33" s="76">
        <f>'Приложение 2-ТЭО'!AC251</f>
        <v>482.8</v>
      </c>
      <c r="K33" s="76"/>
      <c r="L33" s="76"/>
      <c r="M33" s="76">
        <f>'Приложение 2-ТЭО'!AH251</f>
        <v>0</v>
      </c>
      <c r="N33" s="76"/>
      <c r="O33" s="76"/>
      <c r="P33" s="76">
        <f>'Приложение 2-ТЭО'!AM251</f>
        <v>0</v>
      </c>
    </row>
    <row r="34" spans="2:16" ht="15.75" customHeight="1" x14ac:dyDescent="0.25">
      <c r="B34" s="243" t="s">
        <v>424</v>
      </c>
      <c r="C34" s="73" t="s">
        <v>699</v>
      </c>
      <c r="D34" s="74">
        <f>SUM(D35:D38)</f>
        <v>1704209.5</v>
      </c>
      <c r="E34" s="74">
        <f>SUM(E35:E38)</f>
        <v>369720.5</v>
      </c>
      <c r="F34" s="74">
        <f t="shared" ref="F34:P34" si="7">SUM(F35:F38)</f>
        <v>235809.39999999997</v>
      </c>
      <c r="G34" s="74">
        <f t="shared" si="7"/>
        <v>253791.4</v>
      </c>
      <c r="H34" s="74">
        <f t="shared" si="7"/>
        <v>0</v>
      </c>
      <c r="I34" s="74">
        <f t="shared" si="7"/>
        <v>0</v>
      </c>
      <c r="J34" s="74">
        <f>SUM(J35:J38)</f>
        <v>259021.40000000002</v>
      </c>
      <c r="K34" s="74">
        <f t="shared" si="7"/>
        <v>0</v>
      </c>
      <c r="L34" s="74">
        <f t="shared" si="7"/>
        <v>0</v>
      </c>
      <c r="M34" s="74">
        <f t="shared" si="7"/>
        <v>263713.7</v>
      </c>
      <c r="N34" s="74">
        <f t="shared" si="7"/>
        <v>0</v>
      </c>
      <c r="O34" s="74">
        <f t="shared" si="7"/>
        <v>0</v>
      </c>
      <c r="P34" s="74">
        <f t="shared" si="7"/>
        <v>322153.09999999998</v>
      </c>
    </row>
    <row r="35" spans="2:16" ht="35.25" customHeight="1" x14ac:dyDescent="0.25">
      <c r="B35" s="244"/>
      <c r="C35" s="75" t="s">
        <v>33</v>
      </c>
      <c r="D35" s="76">
        <f>SUM(E35:P35)</f>
        <v>0</v>
      </c>
      <c r="E35" s="76">
        <f>'Приложение 2-ТЭО'!K328</f>
        <v>0</v>
      </c>
      <c r="F35" s="76">
        <f>'Приложение 2-ТЭО'!P328</f>
        <v>0</v>
      </c>
      <c r="G35" s="76">
        <f>'Приложение 2-ТЭО'!U328</f>
        <v>0</v>
      </c>
      <c r="H35" s="76"/>
      <c r="I35" s="76"/>
      <c r="J35" s="76">
        <f>'Приложение 2-ТЭО'!Z328</f>
        <v>0</v>
      </c>
      <c r="K35" s="76"/>
      <c r="L35" s="76"/>
      <c r="M35" s="76">
        <f>'Приложение 2-ТЭО'!AE328</f>
        <v>0</v>
      </c>
      <c r="N35" s="76"/>
      <c r="O35" s="76"/>
      <c r="P35" s="76">
        <f>'Приложение 2-ТЭО'!AJ328</f>
        <v>0</v>
      </c>
    </row>
    <row r="36" spans="2:16" ht="35.25" customHeight="1" x14ac:dyDescent="0.25">
      <c r="B36" s="244"/>
      <c r="C36" s="77" t="s">
        <v>34</v>
      </c>
      <c r="D36" s="76">
        <f>SUM(E36:P36)</f>
        <v>116611.6</v>
      </c>
      <c r="E36" s="76">
        <f>'Приложение 2-ТЭО'!L328</f>
        <v>116611.6</v>
      </c>
      <c r="F36" s="76">
        <f>'Приложение 2-ТЭО'!Q328</f>
        <v>0</v>
      </c>
      <c r="G36" s="76">
        <f>'Приложение 2-ТЭО'!V328</f>
        <v>0</v>
      </c>
      <c r="H36" s="76"/>
      <c r="I36" s="76"/>
      <c r="J36" s="76">
        <f>'Приложение 2-ТЭО'!AA328</f>
        <v>0</v>
      </c>
      <c r="K36" s="76"/>
      <c r="L36" s="76"/>
      <c r="M36" s="76">
        <f>'Приложение 2-ТЭО'!AF328</f>
        <v>0</v>
      </c>
      <c r="N36" s="76"/>
      <c r="O36" s="76"/>
      <c r="P36" s="76">
        <f>'Приложение 2-ТЭО'!AK328</f>
        <v>0</v>
      </c>
    </row>
    <row r="37" spans="2:16" ht="30" customHeight="1" x14ac:dyDescent="0.25">
      <c r="B37" s="244"/>
      <c r="C37" s="77" t="s">
        <v>29</v>
      </c>
      <c r="D37" s="76">
        <f>SUM(E37:P37)</f>
        <v>1587597.9</v>
      </c>
      <c r="E37" s="76">
        <f>'Приложение 2-ТЭО'!M328</f>
        <v>253108.90000000002</v>
      </c>
      <c r="F37" s="76">
        <f>'Приложение 2-ТЭО'!R328</f>
        <v>235809.39999999997</v>
      </c>
      <c r="G37" s="76">
        <f>'Приложение 2-ТЭО'!W328</f>
        <v>253791.4</v>
      </c>
      <c r="H37" s="76"/>
      <c r="I37" s="76"/>
      <c r="J37" s="76">
        <f>'Приложение 2-ТЭО'!AB328</f>
        <v>259021.40000000002</v>
      </c>
      <c r="K37" s="76"/>
      <c r="L37" s="76"/>
      <c r="M37" s="76">
        <f>'Приложение 2-ТЭО'!AG328</f>
        <v>263713.7</v>
      </c>
      <c r="N37" s="76"/>
      <c r="O37" s="76"/>
      <c r="P37" s="76">
        <f>'Приложение 2-ТЭО'!AL328</f>
        <v>322153.09999999998</v>
      </c>
    </row>
    <row r="38" spans="2:16" ht="33" customHeight="1" x14ac:dyDescent="0.25">
      <c r="B38" s="245"/>
      <c r="C38" s="77" t="s">
        <v>700</v>
      </c>
      <c r="D38" s="76">
        <f>SUM(E38:P38)</f>
        <v>0</v>
      </c>
      <c r="E38" s="76">
        <f>'Приложение 2-ТЭО'!N328</f>
        <v>0</v>
      </c>
      <c r="F38" s="76">
        <f>'Приложение 2-ТЭО'!S328</f>
        <v>0</v>
      </c>
      <c r="G38" s="76">
        <f>'Приложение 2-ТЭО'!X328</f>
        <v>0</v>
      </c>
      <c r="H38" s="76"/>
      <c r="I38" s="76"/>
      <c r="J38" s="76">
        <f>'Приложение 2-ТЭО'!AC328</f>
        <v>0</v>
      </c>
      <c r="K38" s="76"/>
      <c r="L38" s="76"/>
      <c r="M38" s="76">
        <f>'Приложение 2-ТЭО'!AH328</f>
        <v>0</v>
      </c>
      <c r="N38" s="76"/>
      <c r="O38" s="76"/>
      <c r="P38" s="76">
        <f>'Приложение 2-ТЭО'!AM328</f>
        <v>0</v>
      </c>
    </row>
    <row r="39" spans="2:16" ht="15.75" customHeight="1" x14ac:dyDescent="0.25">
      <c r="B39" s="243" t="s">
        <v>423</v>
      </c>
      <c r="C39" s="73" t="s">
        <v>699</v>
      </c>
      <c r="D39" s="74">
        <f>SUM(D40:D43)</f>
        <v>162142.70000000001</v>
      </c>
      <c r="E39" s="74">
        <f>SUM(E40:E43)</f>
        <v>11663.600000000002</v>
      </c>
      <c r="F39" s="74">
        <f t="shared" ref="F39:P39" si="8">SUM(F40:F43)</f>
        <v>66877.3</v>
      </c>
      <c r="G39" s="74">
        <f t="shared" si="8"/>
        <v>83601.799999999988</v>
      </c>
      <c r="H39" s="74">
        <f t="shared" si="8"/>
        <v>0</v>
      </c>
      <c r="I39" s="74">
        <f t="shared" si="8"/>
        <v>0</v>
      </c>
      <c r="J39" s="74">
        <f t="shared" si="8"/>
        <v>0</v>
      </c>
      <c r="K39" s="74">
        <f t="shared" si="8"/>
        <v>0</v>
      </c>
      <c r="L39" s="74">
        <f t="shared" si="8"/>
        <v>0</v>
      </c>
      <c r="M39" s="74">
        <f t="shared" si="8"/>
        <v>0</v>
      </c>
      <c r="N39" s="74">
        <f t="shared" si="8"/>
        <v>0</v>
      </c>
      <c r="O39" s="74">
        <f t="shared" si="8"/>
        <v>0</v>
      </c>
      <c r="P39" s="74">
        <f t="shared" si="8"/>
        <v>0</v>
      </c>
    </row>
    <row r="40" spans="2:16" ht="35.25" customHeight="1" x14ac:dyDescent="0.25">
      <c r="B40" s="244"/>
      <c r="C40" s="78" t="s">
        <v>33</v>
      </c>
      <c r="D40" s="76">
        <f>SUM(E40:P40)</f>
        <v>0</v>
      </c>
      <c r="E40" s="76">
        <f>'Приложение 2-ТЭО'!K513</f>
        <v>0</v>
      </c>
      <c r="F40" s="76">
        <f>'Приложение 2-ТЭО'!P513</f>
        <v>0</v>
      </c>
      <c r="G40" s="76">
        <f>'Приложение 2-ТЭО'!U513</f>
        <v>0</v>
      </c>
      <c r="H40" s="76"/>
      <c r="I40" s="76"/>
      <c r="J40" s="76">
        <f>'Приложение 2-ТЭО'!Z513</f>
        <v>0</v>
      </c>
      <c r="K40" s="76"/>
      <c r="L40" s="76"/>
      <c r="M40" s="76">
        <f>'Приложение 2-ТЭО'!AE513</f>
        <v>0</v>
      </c>
      <c r="N40" s="76"/>
      <c r="O40" s="76"/>
      <c r="P40" s="76">
        <f>'Приложение 2-ТЭО'!AJ513</f>
        <v>0</v>
      </c>
    </row>
    <row r="41" spans="2:16" ht="35.25" customHeight="1" x14ac:dyDescent="0.25">
      <c r="B41" s="244"/>
      <c r="C41" s="76" t="s">
        <v>34</v>
      </c>
      <c r="D41" s="76">
        <f>SUM(E41:P41)</f>
        <v>17475.099999999999</v>
      </c>
      <c r="E41" s="76">
        <f>'Приложение 2-ТЭО'!L513</f>
        <v>0</v>
      </c>
      <c r="F41" s="76">
        <f>'Приложение 2-ТЭО'!Q513</f>
        <v>0</v>
      </c>
      <c r="G41" s="76">
        <f>'Приложение 2-ТЭО'!V513</f>
        <v>17475.099999999999</v>
      </c>
      <c r="H41" s="76"/>
      <c r="I41" s="76"/>
      <c r="J41" s="76">
        <f>'Приложение 2-ТЭО'!AA513</f>
        <v>0</v>
      </c>
      <c r="K41" s="76"/>
      <c r="L41" s="76"/>
      <c r="M41" s="76">
        <f>'Приложение 2-ТЭО'!AF513</f>
        <v>0</v>
      </c>
      <c r="N41" s="76"/>
      <c r="O41" s="76"/>
      <c r="P41" s="76">
        <f>'Приложение 2-ТЭО'!AK513</f>
        <v>0</v>
      </c>
    </row>
    <row r="42" spans="2:16" ht="30" customHeight="1" x14ac:dyDescent="0.25">
      <c r="B42" s="244"/>
      <c r="C42" s="76" t="s">
        <v>29</v>
      </c>
      <c r="D42" s="76">
        <f>SUM(E42:P42)</f>
        <v>144664.6</v>
      </c>
      <c r="E42" s="76">
        <f>'Приложение 2-ТЭО'!M513</f>
        <v>11660.600000000002</v>
      </c>
      <c r="F42" s="76">
        <f>'Приложение 2-ТЭО'!R513</f>
        <v>66877.3</v>
      </c>
      <c r="G42" s="76">
        <f>'Приложение 2-ТЭО'!W513</f>
        <v>66126.7</v>
      </c>
      <c r="H42" s="76"/>
      <c r="I42" s="76"/>
      <c r="J42" s="76">
        <f>'Приложение 2-ТЭО'!AB513</f>
        <v>0</v>
      </c>
      <c r="K42" s="76"/>
      <c r="L42" s="76"/>
      <c r="M42" s="76">
        <f>'Приложение 2-ТЭО'!AG513</f>
        <v>0</v>
      </c>
      <c r="N42" s="76"/>
      <c r="O42" s="76"/>
      <c r="P42" s="76">
        <f>'Приложение 2-ТЭО'!AL513</f>
        <v>0</v>
      </c>
    </row>
    <row r="43" spans="2:16" ht="33" customHeight="1" x14ac:dyDescent="0.25">
      <c r="B43" s="245"/>
      <c r="C43" s="76" t="s">
        <v>700</v>
      </c>
      <c r="D43" s="76">
        <f>SUM(E43:P43)</f>
        <v>3.0000000000000004</v>
      </c>
      <c r="E43" s="76">
        <f>'Приложение 2-ТЭО'!N513</f>
        <v>3.0000000000000004</v>
      </c>
      <c r="F43" s="76">
        <f>'Приложение 2-ТЭО'!S513</f>
        <v>0</v>
      </c>
      <c r="G43" s="76">
        <f>'Приложение 2-ТЭО'!X513</f>
        <v>0</v>
      </c>
      <c r="H43" s="76"/>
      <c r="I43" s="76"/>
      <c r="J43" s="76">
        <f>'Приложение 2-ТЭО'!AC513</f>
        <v>0</v>
      </c>
      <c r="K43" s="76"/>
      <c r="L43" s="76"/>
      <c r="M43" s="76">
        <f>'Приложение 2-ТЭО'!AH513</f>
        <v>0</v>
      </c>
      <c r="N43" s="76"/>
      <c r="O43" s="76"/>
      <c r="P43" s="76">
        <f>'Приложение 2-ТЭО'!AM513</f>
        <v>0</v>
      </c>
    </row>
    <row r="48" spans="2:16" x14ac:dyDescent="0.25">
      <c r="C48" s="69"/>
      <c r="D48" s="69"/>
      <c r="E48" s="69"/>
      <c r="F48" s="69"/>
      <c r="G48" s="69"/>
      <c r="H48" s="69"/>
      <c r="I48" s="69"/>
      <c r="J48" s="69"/>
      <c r="K48" s="69"/>
      <c r="L48" s="69">
        <f>L45-L9</f>
        <v>0</v>
      </c>
      <c r="M48" s="69"/>
      <c r="N48" s="69"/>
      <c r="O48" s="69"/>
      <c r="P48" s="69"/>
    </row>
  </sheetData>
  <mergeCells count="14">
    <mergeCell ref="B39:B43"/>
    <mergeCell ref="B9:B13"/>
    <mergeCell ref="B14:B18"/>
    <mergeCell ref="B19:B23"/>
    <mergeCell ref="B24:B28"/>
    <mergeCell ref="B29:B33"/>
    <mergeCell ref="B34:B38"/>
    <mergeCell ref="J1:P1"/>
    <mergeCell ref="B3:P3"/>
    <mergeCell ref="B5:B7"/>
    <mergeCell ref="C5:C7"/>
    <mergeCell ref="D5:P5"/>
    <mergeCell ref="D6:D7"/>
    <mergeCell ref="E6:P6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2-ТЭО</vt:lpstr>
      <vt:lpstr>Приложение 3</vt:lpstr>
      <vt:lpstr>'Приложение 2-ТЭО'!Заголовки_для_печати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2021-03-05T05:58:22Z</dcterms:modified>
</cp:coreProperties>
</file>